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pedr\Dropbox\Links\Scanners\"/>
    </mc:Choice>
  </mc:AlternateContent>
  <xr:revisionPtr revIDLastSave="0" documentId="8_{D9FEDDF1-BC19-4B80-A546-1D424ECF432B}" xr6:coauthVersionLast="43" xr6:coauthVersionMax="43" xr10:uidLastSave="{00000000-0000-0000-0000-000000000000}"/>
  <bookViews>
    <workbookView xWindow="735" yWindow="735" windowWidth="28440" windowHeight="14220" tabRatio="903" xr2:uid="{00000000-000D-0000-FFFF-FFFF00000000}"/>
  </bookViews>
  <sheets>
    <sheet name="Implied Vol - Black-Scholes" sheetId="13" r:id="rId1"/>
    <sheet name="Implied Vol - Binomial (yield)" sheetId="14" r:id="rId2"/>
    <sheet name="Implied Vol-Binomial (discrete)" sheetId="6" r:id="rId3"/>
  </sheets>
  <definedNames>
    <definedName name="d" localSheetId="1">'Implied Vol - Binomial (yield)'!$R$9</definedName>
    <definedName name="d">'Implied Vol-Binomial (discrete)'!$S$6</definedName>
    <definedName name="div">'Implied Vol-Binomial (discrete)'!$C$15</definedName>
    <definedName name="dt" localSheetId="1">'Implied Vol - Binomial (yield)'!$R$7</definedName>
    <definedName name="dt">'Implied Vol-Binomial (discrete)'!$S$4</definedName>
    <definedName name="emrdt" localSheetId="1">'Implied Vol - Binomial (yield)'!$R$11</definedName>
    <definedName name="emrdt">'Implied Vol-Binomial (discrete)'!$S$8</definedName>
    <definedName name="exdiv">'Implied Vol-Binomial (discrete)'!$C$17</definedName>
    <definedName name="K" localSheetId="1">'Implied Vol - Binomial (yield)'!$C$9</definedName>
    <definedName name="K">'Implied Vol-Binomial (discrete)'!$C$9</definedName>
    <definedName name="n" localSheetId="1">'Implied Vol - Binomial (yield)'!$C$17</definedName>
    <definedName name="n">'Implied Vol-Binomial (discrete)'!$C$14</definedName>
    <definedName name="OptType" localSheetId="1">'Implied Vol - Binomial (yield)'!$C$7</definedName>
    <definedName name="OptType">'Implied Vol-Binomial (discrete)'!$C$7</definedName>
    <definedName name="p" localSheetId="1">'Implied Vol - Binomial (yield)'!$R$10</definedName>
    <definedName name="p">'Implied Vol-Binomial (discrete)'!$S$7</definedName>
    <definedName name="q">#REF!</definedName>
    <definedName name="rr" localSheetId="1">'Implied Vol - Binomial (yield)'!$C$11</definedName>
    <definedName name="rr">'Implied Vol-Binomial (discrete)'!$C$10</definedName>
    <definedName name="S" localSheetId="1">'Implied Vol - Binomial (yield)'!$C$8</definedName>
    <definedName name="S">'Implied Vol-Binomial (discrete)'!$C$8</definedName>
    <definedName name="solver_adj" localSheetId="1" hidden="1">'Implied Vol - Binomial (yield)'!$C$10</definedName>
    <definedName name="solver_adj" localSheetId="0" hidden="1">'Implied Vol - Black-Scholes'!$C$9</definedName>
    <definedName name="solver_adj" localSheetId="2" hidden="1">'Implied Vol-Binomial (discrete)'!$C$11</definedName>
    <definedName name="solver_cvg" localSheetId="1" hidden="1">0.0001</definedName>
    <definedName name="solver_cvg" localSheetId="0" hidden="1">0.0001</definedName>
    <definedName name="solver_cvg" localSheetId="2" hidden="1">0.0001</definedName>
    <definedName name="solver_drv" localSheetId="1" hidden="1">1</definedName>
    <definedName name="solver_drv" localSheetId="0" hidden="1">1</definedName>
    <definedName name="solver_drv" localSheetId="2" hidden="1">1</definedName>
    <definedName name="solver_eng" localSheetId="1" hidden="1">1</definedName>
    <definedName name="solver_eng" localSheetId="0" hidden="1">1</definedName>
    <definedName name="solver_eng" localSheetId="2" hidden="1">1</definedName>
    <definedName name="solver_est" localSheetId="1" hidden="1">1</definedName>
    <definedName name="solver_est" localSheetId="0" hidden="1">1</definedName>
    <definedName name="solver_est" localSheetId="2" hidden="1">1</definedName>
    <definedName name="solver_itr" localSheetId="1" hidden="1">2147483647</definedName>
    <definedName name="solver_itr" localSheetId="0" hidden="1">2147483647</definedName>
    <definedName name="solver_itr" localSheetId="2" hidden="1">2147483647</definedName>
    <definedName name="solver_mip" localSheetId="1" hidden="1">2147483647</definedName>
    <definedName name="solver_mip" localSheetId="0" hidden="1">2147483647</definedName>
    <definedName name="solver_mip" localSheetId="2" hidden="1">2147483647</definedName>
    <definedName name="solver_mni" localSheetId="1" hidden="1">30</definedName>
    <definedName name="solver_mni" localSheetId="0" hidden="1">30</definedName>
    <definedName name="solver_mni" localSheetId="2" hidden="1">30</definedName>
    <definedName name="solver_mrt" localSheetId="1" hidden="1">0.075</definedName>
    <definedName name="solver_mrt" localSheetId="0" hidden="1">0.075</definedName>
    <definedName name="solver_mrt" localSheetId="2" hidden="1">0.075</definedName>
    <definedName name="solver_msl" localSheetId="1" hidden="1">2</definedName>
    <definedName name="solver_msl" localSheetId="0" hidden="1">2</definedName>
    <definedName name="solver_msl" localSheetId="2" hidden="1">2</definedName>
    <definedName name="solver_neg" localSheetId="1" hidden="1">1</definedName>
    <definedName name="solver_neg" localSheetId="0" hidden="1">1</definedName>
    <definedName name="solver_neg" localSheetId="2" hidden="1">1</definedName>
    <definedName name="solver_nod" localSheetId="1" hidden="1">2147483647</definedName>
    <definedName name="solver_nod" localSheetId="0" hidden="1">2147483647</definedName>
    <definedName name="solver_nod" localSheetId="2" hidden="1">2147483647</definedName>
    <definedName name="solver_num" localSheetId="1" hidden="1">0</definedName>
    <definedName name="solver_num" localSheetId="0" hidden="1">0</definedName>
    <definedName name="solver_num" localSheetId="2" hidden="1">0</definedName>
    <definedName name="solver_nwt" localSheetId="1" hidden="1">1</definedName>
    <definedName name="solver_nwt" localSheetId="0" hidden="1">1</definedName>
    <definedName name="solver_nwt" localSheetId="2" hidden="1">1</definedName>
    <definedName name="solver_opt" localSheetId="1" hidden="1">'Implied Vol - Binomial (yield)'!$C$18</definedName>
    <definedName name="solver_opt" localSheetId="0" hidden="1">'Implied Vol - Black-Scholes'!$C$17</definedName>
    <definedName name="solver_opt" localSheetId="2" hidden="1">'Implied Vol-Binomial (discrete)'!$C$20</definedName>
    <definedName name="solver_pre" localSheetId="1" hidden="1">0.000001</definedName>
    <definedName name="solver_pre" localSheetId="0" hidden="1">0.000001</definedName>
    <definedName name="solver_pre" localSheetId="2" hidden="1">0.000001</definedName>
    <definedName name="solver_rbv" localSheetId="1" hidden="1">1</definedName>
    <definedName name="solver_rbv" localSheetId="0" hidden="1">1</definedName>
    <definedName name="solver_rbv" localSheetId="2" hidden="1">1</definedName>
    <definedName name="solver_rlx" localSheetId="1" hidden="1">2</definedName>
    <definedName name="solver_rlx" localSheetId="0" hidden="1">2</definedName>
    <definedName name="solver_rlx" localSheetId="2" hidden="1">2</definedName>
    <definedName name="solver_rsd" localSheetId="1" hidden="1">0</definedName>
    <definedName name="solver_rsd" localSheetId="0" hidden="1">0</definedName>
    <definedName name="solver_rsd" localSheetId="2" hidden="1">0</definedName>
    <definedName name="solver_scl" localSheetId="1" hidden="1">1</definedName>
    <definedName name="solver_scl" localSheetId="0" hidden="1">1</definedName>
    <definedName name="solver_scl" localSheetId="2" hidden="1">1</definedName>
    <definedName name="solver_sho" localSheetId="1" hidden="1">2</definedName>
    <definedName name="solver_sho" localSheetId="0" hidden="1">2</definedName>
    <definedName name="solver_sho" localSheetId="2" hidden="1">2</definedName>
    <definedName name="solver_ssz" localSheetId="1" hidden="1">100</definedName>
    <definedName name="solver_ssz" localSheetId="0" hidden="1">100</definedName>
    <definedName name="solver_ssz" localSheetId="2" hidden="1">100</definedName>
    <definedName name="solver_tim" localSheetId="1" hidden="1">2147483647</definedName>
    <definedName name="solver_tim" localSheetId="0" hidden="1">2147483647</definedName>
    <definedName name="solver_tim" localSheetId="2" hidden="1">2147483647</definedName>
    <definedName name="solver_tol" localSheetId="1" hidden="1">0.01</definedName>
    <definedName name="solver_tol" localSheetId="0" hidden="1">0.01</definedName>
    <definedName name="solver_tol" localSheetId="2" hidden="1">0.01</definedName>
    <definedName name="solver_typ" localSheetId="1" hidden="1">2</definedName>
    <definedName name="solver_typ" localSheetId="0" hidden="1">2</definedName>
    <definedName name="solver_typ" localSheetId="2" hidden="1">3</definedName>
    <definedName name="solver_val" localSheetId="1" hidden="1">0</definedName>
    <definedName name="solver_val" localSheetId="0" hidden="1">0</definedName>
    <definedName name="solver_val" localSheetId="2" hidden="1">0</definedName>
    <definedName name="solver_ver" localSheetId="1" hidden="1">3</definedName>
    <definedName name="solver_ver" localSheetId="0" hidden="1">3</definedName>
    <definedName name="solver_ver" localSheetId="2" hidden="1">3</definedName>
    <definedName name="T" localSheetId="1">'Implied Vol - Binomial (yield)'!$C$16</definedName>
    <definedName name="T">'Implied Vol-Binomial (discrete)'!$C$13</definedName>
    <definedName name="u" localSheetId="1">'Implied Vol - Binomial (yield)'!$R$8</definedName>
    <definedName name="u">'Implied Vol-Binomial (discrete)'!$S$5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3" i="6" l="1"/>
  <c r="C15" i="14"/>
  <c r="C16" i="14" s="1"/>
  <c r="R7" i="14" s="1"/>
  <c r="R8" i="14" s="1"/>
  <c r="R9" i="14" s="1"/>
  <c r="R10" i="14" s="1"/>
  <c r="C14" i="13"/>
  <c r="AH8" i="6"/>
  <c r="AF4" i="6"/>
  <c r="AI8" i="6"/>
  <c r="AG11" i="14"/>
  <c r="AE7" i="14"/>
  <c r="Z8" i="13"/>
  <c r="AB12" i="13"/>
  <c r="AB13" i="13"/>
  <c r="AC12" i="13"/>
  <c r="AD12" i="13"/>
  <c r="AJ8" i="6"/>
  <c r="AK8" i="6"/>
  <c r="AL8" i="6"/>
  <c r="AH10" i="6"/>
  <c r="AH11" i="6"/>
  <c r="AK11" i="6"/>
  <c r="AF13" i="13"/>
  <c r="AI10" i="6"/>
  <c r="AJ11" i="6"/>
  <c r="P8" i="13"/>
  <c r="Q61" i="6"/>
  <c r="B21" i="6"/>
  <c r="Q37" i="14"/>
  <c r="B19" i="14"/>
  <c r="Q48" i="14"/>
  <c r="R46" i="14"/>
  <c r="R57" i="14" s="1"/>
  <c r="R45" i="14"/>
  <c r="R56" i="14" s="1"/>
  <c r="R44" i="14"/>
  <c r="R55" i="14" s="1"/>
  <c r="R43" i="14"/>
  <c r="R54" i="14" s="1"/>
  <c r="R42" i="14"/>
  <c r="R53" i="14" s="1"/>
  <c r="R41" i="14"/>
  <c r="R52" i="14" s="1"/>
  <c r="R40" i="14"/>
  <c r="R51" i="14" s="1"/>
  <c r="R39" i="14"/>
  <c r="R50" i="14" s="1"/>
  <c r="R38" i="14"/>
  <c r="R49" i="14" s="1"/>
  <c r="Z35" i="14"/>
  <c r="Z46" i="14" s="1"/>
  <c r="Z57" i="14" s="1"/>
  <c r="Y35" i="14"/>
  <c r="Y46" i="14"/>
  <c r="Y57" i="14" s="1"/>
  <c r="X35" i="14"/>
  <c r="X46" i="14" s="1"/>
  <c r="X57" i="14" s="1"/>
  <c r="W35" i="14"/>
  <c r="W46" i="14"/>
  <c r="W57" i="14" s="1"/>
  <c r="V35" i="14"/>
  <c r="V46" i="14" s="1"/>
  <c r="V57" i="14" s="1"/>
  <c r="U35" i="14"/>
  <c r="U46" i="14"/>
  <c r="U57" i="14" s="1"/>
  <c r="T35" i="14"/>
  <c r="T46" i="14" s="1"/>
  <c r="T57" i="14" s="1"/>
  <c r="S35" i="14"/>
  <c r="S46" i="14"/>
  <c r="S57" i="14" s="1"/>
  <c r="Y34" i="14"/>
  <c r="Y45" i="14" s="1"/>
  <c r="Y56" i="14" s="1"/>
  <c r="X34" i="14"/>
  <c r="X45" i="14"/>
  <c r="X56" i="14" s="1"/>
  <c r="W34" i="14"/>
  <c r="W45" i="14" s="1"/>
  <c r="W56" i="14" s="1"/>
  <c r="V34" i="14"/>
  <c r="V45" i="14"/>
  <c r="V56" i="14" s="1"/>
  <c r="U34" i="14"/>
  <c r="U45" i="14" s="1"/>
  <c r="U56" i="14" s="1"/>
  <c r="T34" i="14"/>
  <c r="T45" i="14"/>
  <c r="T56" i="14" s="1"/>
  <c r="S34" i="14"/>
  <c r="S45" i="14" s="1"/>
  <c r="S56" i="14" s="1"/>
  <c r="X33" i="14"/>
  <c r="X44" i="14"/>
  <c r="X55" i="14" s="1"/>
  <c r="W33" i="14"/>
  <c r="W44" i="14" s="1"/>
  <c r="W55" i="14" s="1"/>
  <c r="V33" i="14"/>
  <c r="V44" i="14"/>
  <c r="V55" i="14" s="1"/>
  <c r="U33" i="14"/>
  <c r="U44" i="14" s="1"/>
  <c r="U55" i="14" s="1"/>
  <c r="T33" i="14"/>
  <c r="T44" i="14"/>
  <c r="T55" i="14" s="1"/>
  <c r="S33" i="14"/>
  <c r="S44" i="14" s="1"/>
  <c r="S55" i="14" s="1"/>
  <c r="W32" i="14"/>
  <c r="W43" i="14"/>
  <c r="W54" i="14" s="1"/>
  <c r="V32" i="14"/>
  <c r="V43" i="14" s="1"/>
  <c r="V54" i="14" s="1"/>
  <c r="U32" i="14"/>
  <c r="U43" i="14"/>
  <c r="U54" i="14" s="1"/>
  <c r="T32" i="14"/>
  <c r="T43" i="14" s="1"/>
  <c r="T54" i="14" s="1"/>
  <c r="S32" i="14"/>
  <c r="S43" i="14"/>
  <c r="S54" i="14" s="1"/>
  <c r="V31" i="14"/>
  <c r="V42" i="14" s="1"/>
  <c r="V53" i="14" s="1"/>
  <c r="U31" i="14"/>
  <c r="U42" i="14"/>
  <c r="U53" i="14" s="1"/>
  <c r="T31" i="14"/>
  <c r="T42" i="14" s="1"/>
  <c r="T53" i="14" s="1"/>
  <c r="S31" i="14"/>
  <c r="S42" i="14"/>
  <c r="S53" i="14" s="1"/>
  <c r="U30" i="14"/>
  <c r="U41" i="14" s="1"/>
  <c r="U52" i="14" s="1"/>
  <c r="T30" i="14"/>
  <c r="T41" i="14"/>
  <c r="T52" i="14" s="1"/>
  <c r="S30" i="14"/>
  <c r="S41" i="14" s="1"/>
  <c r="S52" i="14" s="1"/>
  <c r="T29" i="14"/>
  <c r="T40" i="14"/>
  <c r="T51" i="14" s="1"/>
  <c r="S29" i="14"/>
  <c r="S40" i="14" s="1"/>
  <c r="S51" i="14" s="1"/>
  <c r="S28" i="14"/>
  <c r="S39" i="14"/>
  <c r="S50" i="14" s="1"/>
  <c r="R26" i="14"/>
  <c r="C15" i="13"/>
  <c r="R8" i="13" s="1"/>
  <c r="R24" i="14"/>
  <c r="R11" i="14"/>
  <c r="T24" i="14"/>
  <c r="S24" i="14"/>
  <c r="Y24" i="14"/>
  <c r="W24" i="14"/>
  <c r="X24" i="14"/>
  <c r="C17" i="6"/>
  <c r="R31" i="6" s="1"/>
  <c r="R80" i="6"/>
  <c r="R79" i="6"/>
  <c r="R78" i="6"/>
  <c r="R77" i="6"/>
  <c r="R76" i="6"/>
  <c r="Q75" i="6"/>
  <c r="R51" i="6"/>
  <c r="R66" i="6"/>
  <c r="R50" i="6"/>
  <c r="R65" i="6"/>
  <c r="R49" i="6"/>
  <c r="R64" i="6"/>
  <c r="R48" i="6"/>
  <c r="R63" i="6"/>
  <c r="R47" i="6"/>
  <c r="R62" i="6"/>
  <c r="V45" i="6"/>
  <c r="U45" i="6"/>
  <c r="T45" i="6"/>
  <c r="S45" i="6"/>
  <c r="V36" i="6"/>
  <c r="V80" i="6"/>
  <c r="U36" i="6"/>
  <c r="U51" i="6"/>
  <c r="U66" i="6" s="1"/>
  <c r="T36" i="6"/>
  <c r="S36" i="6"/>
  <c r="S51" i="6"/>
  <c r="S66" i="6" s="1"/>
  <c r="U35" i="6"/>
  <c r="T35" i="6"/>
  <c r="T79" i="6"/>
  <c r="S35" i="6"/>
  <c r="S79" i="6"/>
  <c r="T34" i="6"/>
  <c r="T49" i="6"/>
  <c r="T64" i="6" s="1"/>
  <c r="S34" i="6"/>
  <c r="S78" i="6" s="1"/>
  <c r="S33" i="6"/>
  <c r="S77" i="6" s="1"/>
  <c r="S4" i="6"/>
  <c r="Y29" i="6" s="1"/>
  <c r="T29" i="6"/>
  <c r="S48" i="6"/>
  <c r="S63" i="6" s="1"/>
  <c r="T50" i="6"/>
  <c r="T65" i="6" s="1"/>
  <c r="S80" i="6"/>
  <c r="S50" i="6"/>
  <c r="S65" i="6"/>
  <c r="T78" i="6"/>
  <c r="S49" i="6"/>
  <c r="S64" i="6" s="1"/>
  <c r="U80" i="6"/>
  <c r="V51" i="6"/>
  <c r="V66" i="6" s="1"/>
  <c r="AA24" i="14" l="1"/>
  <c r="P12" i="13"/>
  <c r="Q12" i="13" s="1"/>
  <c r="U24" i="14"/>
  <c r="V24" i="14"/>
  <c r="Z24" i="14"/>
  <c r="AA29" i="6"/>
  <c r="AB29" i="6"/>
  <c r="Z29" i="6"/>
  <c r="S5" i="6"/>
  <c r="U29" i="6"/>
  <c r="V29" i="6"/>
  <c r="S8" i="6"/>
  <c r="U50" i="6"/>
  <c r="U65" i="6" s="1"/>
  <c r="U79" i="6"/>
  <c r="T51" i="6"/>
  <c r="T66" i="6" s="1"/>
  <c r="T80" i="6"/>
  <c r="R12" i="13"/>
  <c r="S12" i="13" s="1"/>
  <c r="Q8" i="13"/>
  <c r="P10" i="13" s="1"/>
  <c r="S26" i="14"/>
  <c r="AE13" i="13"/>
  <c r="AC13" i="13"/>
  <c r="AD13" i="13"/>
  <c r="AG15" i="14"/>
  <c r="AG13" i="14"/>
  <c r="AK13" i="14" s="1"/>
  <c r="AK11" i="14"/>
  <c r="AJ11" i="14"/>
  <c r="AG14" i="14"/>
  <c r="AH14" i="14" s="1"/>
  <c r="S29" i="6"/>
  <c r="R29" i="6"/>
  <c r="R46" i="6" s="1"/>
  <c r="W29" i="6"/>
  <c r="X29" i="6"/>
  <c r="AG12" i="14"/>
  <c r="AK10" i="6"/>
  <c r="AL10" i="6"/>
  <c r="AJ10" i="6"/>
  <c r="AI11" i="14"/>
  <c r="AL11" i="6"/>
  <c r="AI11" i="6"/>
  <c r="AB16" i="13"/>
  <c r="AF12" i="13"/>
  <c r="AB14" i="13"/>
  <c r="AB15" i="13"/>
  <c r="AE12" i="13"/>
  <c r="AJ13" i="14"/>
  <c r="AH13" i="14"/>
  <c r="AH11" i="14"/>
  <c r="AI13" i="14"/>
  <c r="AH12" i="14"/>
  <c r="AJ14" i="14"/>
  <c r="AI14" i="14"/>
  <c r="AI15" i="14"/>
  <c r="AH12" i="6"/>
  <c r="AH9" i="6"/>
  <c r="Q10" i="13" l="1"/>
  <c r="R10" i="13"/>
  <c r="F11" i="13"/>
  <c r="F10" i="13"/>
  <c r="S10" i="13"/>
  <c r="S6" i="6"/>
  <c r="S7" i="6" s="1"/>
  <c r="S31" i="6"/>
  <c r="AL9" i="6"/>
  <c r="AK9" i="6"/>
  <c r="AJ9" i="6"/>
  <c r="AI9" i="6"/>
  <c r="AD15" i="13"/>
  <c r="AE15" i="13"/>
  <c r="AF15" i="13"/>
  <c r="AC15" i="13"/>
  <c r="AK12" i="14"/>
  <c r="AJ12" i="14"/>
  <c r="AJ15" i="14"/>
  <c r="AH15" i="14"/>
  <c r="AL12" i="6"/>
  <c r="AI12" i="6"/>
  <c r="AJ12" i="6"/>
  <c r="AK12" i="6"/>
  <c r="AK15" i="14"/>
  <c r="AI12" i="14"/>
  <c r="AK14" i="14"/>
  <c r="AE14" i="13"/>
  <c r="AD14" i="13"/>
  <c r="AF14" i="13"/>
  <c r="AC14" i="13"/>
  <c r="AE16" i="13"/>
  <c r="AD16" i="13"/>
  <c r="AF16" i="13"/>
  <c r="AC16" i="13"/>
  <c r="S27" i="14"/>
  <c r="S38" i="14" s="1"/>
  <c r="S49" i="14" s="1"/>
  <c r="T26" i="14"/>
  <c r="S37" i="14"/>
  <c r="U26" i="14" l="1"/>
  <c r="T27" i="14"/>
  <c r="T37" i="14"/>
  <c r="G8" i="13"/>
  <c r="F8" i="13"/>
  <c r="S48" i="14"/>
  <c r="F8" i="14"/>
  <c r="R37" i="14"/>
  <c r="S46" i="6"/>
  <c r="S61" i="6" s="1"/>
  <c r="T31" i="6"/>
  <c r="S75" i="6"/>
  <c r="S32" i="6"/>
  <c r="U10" i="13"/>
  <c r="T10" i="13"/>
  <c r="G12" i="13" l="1"/>
  <c r="C19" i="13"/>
  <c r="G9" i="13"/>
  <c r="T48" i="14"/>
  <c r="U27" i="14"/>
  <c r="U37" i="14"/>
  <c r="U48" i="14" s="1"/>
  <c r="V26" i="14"/>
  <c r="F12" i="13"/>
  <c r="F9" i="13"/>
  <c r="B19" i="13"/>
  <c r="C17" i="13" s="1"/>
  <c r="S47" i="6"/>
  <c r="S62" i="6" s="1"/>
  <c r="R61" i="6" s="1"/>
  <c r="C21" i="6" s="1"/>
  <c r="C20" i="6" s="1"/>
  <c r="S76" i="6"/>
  <c r="R75" i="6" s="1"/>
  <c r="C22" i="6" s="1"/>
  <c r="T46" i="6"/>
  <c r="T61" i="6" s="1"/>
  <c r="T32" i="6"/>
  <c r="T75" i="6"/>
  <c r="U31" i="6"/>
  <c r="C19" i="14"/>
  <c r="C18" i="14" s="1"/>
  <c r="R48" i="14"/>
  <c r="T28" i="14"/>
  <c r="T39" i="14" s="1"/>
  <c r="T50" i="14" s="1"/>
  <c r="T38" i="14"/>
  <c r="F9" i="14" l="1"/>
  <c r="T49" i="14"/>
  <c r="U32" i="6"/>
  <c r="V31" i="6"/>
  <c r="U46" i="6"/>
  <c r="U61" i="6" s="1"/>
  <c r="U75" i="6"/>
  <c r="T33" i="6"/>
  <c r="T47" i="6"/>
  <c r="T62" i="6" s="1"/>
  <c r="T76" i="6"/>
  <c r="F10" i="14"/>
  <c r="W26" i="14"/>
  <c r="V27" i="14"/>
  <c r="V37" i="14"/>
  <c r="V48" i="14" s="1"/>
  <c r="U38" i="14"/>
  <c r="U49" i="14" s="1"/>
  <c r="U28" i="14"/>
  <c r="U29" i="14" l="1"/>
  <c r="U40" i="14" s="1"/>
  <c r="U51" i="14" s="1"/>
  <c r="U39" i="14"/>
  <c r="U50" i="14" s="1"/>
  <c r="X26" i="14"/>
  <c r="W27" i="14"/>
  <c r="W37" i="14"/>
  <c r="W48" i="14" s="1"/>
  <c r="T77" i="6"/>
  <c r="T48" i="6"/>
  <c r="T63" i="6" s="1"/>
  <c r="U47" i="6"/>
  <c r="U62" i="6" s="1"/>
  <c r="U33" i="6"/>
  <c r="U76" i="6"/>
  <c r="V38" i="14"/>
  <c r="V49" i="14" s="1"/>
  <c r="V28" i="14"/>
  <c r="W31" i="6"/>
  <c r="V32" i="6"/>
  <c r="V46" i="6"/>
  <c r="V61" i="6" s="1"/>
  <c r="V75" i="6"/>
  <c r="V33" i="6" l="1"/>
  <c r="V76" i="6"/>
  <c r="V47" i="6"/>
  <c r="V62" i="6" s="1"/>
  <c r="V29" i="14"/>
  <c r="V39" i="14"/>
  <c r="V50" i="14" s="1"/>
  <c r="W38" i="14"/>
  <c r="W49" i="14" s="1"/>
  <c r="W28" i="14"/>
  <c r="W32" i="6"/>
  <c r="X31" i="6"/>
  <c r="W46" i="6"/>
  <c r="W61" i="6" s="1"/>
  <c r="W75" i="6"/>
  <c r="U34" i="6"/>
  <c r="U77" i="6"/>
  <c r="U48" i="6"/>
  <c r="U63" i="6" s="1"/>
  <c r="Y26" i="14"/>
  <c r="X27" i="14"/>
  <c r="X37" i="14"/>
  <c r="X48" i="14" s="1"/>
  <c r="Y27" i="14" l="1"/>
  <c r="Y37" i="14"/>
  <c r="Y48" i="14" s="1"/>
  <c r="Z26" i="14"/>
  <c r="X32" i="6"/>
  <c r="Y31" i="6"/>
  <c r="X46" i="6"/>
  <c r="X61" i="6" s="1"/>
  <c r="X75" i="6"/>
  <c r="W29" i="14"/>
  <c r="W39" i="14"/>
  <c r="W50" i="14" s="1"/>
  <c r="V34" i="6"/>
  <c r="V77" i="6"/>
  <c r="V48" i="6"/>
  <c r="V63" i="6" s="1"/>
  <c r="X28" i="14"/>
  <c r="X38" i="14"/>
  <c r="X49" i="14" s="1"/>
  <c r="U49" i="6"/>
  <c r="U64" i="6" s="1"/>
  <c r="U78" i="6"/>
  <c r="W47" i="6"/>
  <c r="W62" i="6" s="1"/>
  <c r="W33" i="6"/>
  <c r="W76" i="6"/>
  <c r="V30" i="14"/>
  <c r="V41" i="14" s="1"/>
  <c r="V52" i="14" s="1"/>
  <c r="V40" i="14"/>
  <c r="V51" i="14" s="1"/>
  <c r="W34" i="6" l="1"/>
  <c r="W48" i="6"/>
  <c r="W63" i="6" s="1"/>
  <c r="W77" i="6"/>
  <c r="V49" i="6"/>
  <c r="V64" i="6" s="1"/>
  <c r="V35" i="6"/>
  <c r="V78" i="6"/>
  <c r="W40" i="14"/>
  <c r="W51" i="14" s="1"/>
  <c r="W30" i="14"/>
  <c r="X47" i="6"/>
  <c r="X62" i="6" s="1"/>
  <c r="X33" i="6"/>
  <c r="X76" i="6"/>
  <c r="X29" i="14"/>
  <c r="X39" i="14"/>
  <c r="X50" i="14" s="1"/>
  <c r="Y46" i="6"/>
  <c r="Y61" i="6" s="1"/>
  <c r="Z31" i="6"/>
  <c r="Y32" i="6"/>
  <c r="Y75" i="6"/>
  <c r="AA26" i="14"/>
  <c r="Z37" i="14"/>
  <c r="Z48" i="14" s="1"/>
  <c r="Z27" i="14"/>
  <c r="Y28" i="14"/>
  <c r="Y38" i="14"/>
  <c r="Y49" i="14" s="1"/>
  <c r="Y29" i="14" l="1"/>
  <c r="Y39" i="14"/>
  <c r="Y50" i="14" s="1"/>
  <c r="Z46" i="6"/>
  <c r="Z61" i="6" s="1"/>
  <c r="AA31" i="6"/>
  <c r="Z75" i="6"/>
  <c r="Z32" i="6"/>
  <c r="V50" i="6"/>
  <c r="V65" i="6" s="1"/>
  <c r="V79" i="6"/>
  <c r="W35" i="6"/>
  <c r="W49" i="6"/>
  <c r="W64" i="6" s="1"/>
  <c r="W78" i="6"/>
  <c r="Z28" i="14"/>
  <c r="Z38" i="14"/>
  <c r="Z49" i="14" s="1"/>
  <c r="AA27" i="14"/>
  <c r="AA48" i="14"/>
  <c r="AA37" i="14"/>
  <c r="Y47" i="6"/>
  <c r="Y62" i="6" s="1"/>
  <c r="Y33" i="6"/>
  <c r="Y76" i="6"/>
  <c r="X30" i="14"/>
  <c r="X40" i="14"/>
  <c r="X51" i="14" s="1"/>
  <c r="X34" i="6"/>
  <c r="X77" i="6"/>
  <c r="X48" i="6"/>
  <c r="X63" i="6" s="1"/>
  <c r="W41" i="14"/>
  <c r="W52" i="14" s="1"/>
  <c r="W31" i="14"/>
  <c r="W42" i="14" s="1"/>
  <c r="W53" i="14" s="1"/>
  <c r="X35" i="6" l="1"/>
  <c r="X78" i="6"/>
  <c r="X49" i="6"/>
  <c r="X64" i="6" s="1"/>
  <c r="X41" i="14"/>
  <c r="X52" i="14" s="1"/>
  <c r="X31" i="14"/>
  <c r="Y48" i="6"/>
  <c r="Y63" i="6" s="1"/>
  <c r="Y34" i="6"/>
  <c r="Y77" i="6"/>
  <c r="AA38" i="14"/>
  <c r="AA28" i="14"/>
  <c r="AA49" i="14"/>
  <c r="Z39" i="14"/>
  <c r="Z50" i="14" s="1"/>
  <c r="Z29" i="14"/>
  <c r="Z47" i="6"/>
  <c r="Z62" i="6" s="1"/>
  <c r="Z33" i="6"/>
  <c r="Z76" i="6"/>
  <c r="AB31" i="6"/>
  <c r="AA46" i="6"/>
  <c r="AA61" i="6" s="1"/>
  <c r="AA32" i="6"/>
  <c r="AA75" i="6"/>
  <c r="W50" i="6"/>
  <c r="W65" i="6" s="1"/>
  <c r="W79" i="6"/>
  <c r="W36" i="6"/>
  <c r="Y30" i="14"/>
  <c r="Y40" i="14"/>
  <c r="Y51" i="14" s="1"/>
  <c r="W80" i="6" l="1"/>
  <c r="W51" i="6"/>
  <c r="W66" i="6" s="1"/>
  <c r="AA33" i="6"/>
  <c r="AA47" i="6"/>
  <c r="AA62" i="6" s="1"/>
  <c r="AA76" i="6"/>
  <c r="AB32" i="6"/>
  <c r="AB46" i="6"/>
  <c r="Z34" i="6"/>
  <c r="Z48" i="6"/>
  <c r="Z63" i="6" s="1"/>
  <c r="Z77" i="6"/>
  <c r="Z40" i="14"/>
  <c r="Z51" i="14" s="1"/>
  <c r="Z30" i="14"/>
  <c r="Y49" i="6"/>
  <c r="Y64" i="6" s="1"/>
  <c r="Y78" i="6"/>
  <c r="Y35" i="6"/>
  <c r="X32" i="14"/>
  <c r="X43" i="14" s="1"/>
  <c r="X54" i="14" s="1"/>
  <c r="X42" i="14"/>
  <c r="X53" i="14" s="1"/>
  <c r="X50" i="6"/>
  <c r="X65" i="6" s="1"/>
  <c r="X36" i="6"/>
  <c r="X79" i="6"/>
  <c r="Y31" i="14"/>
  <c r="Y41" i="14"/>
  <c r="Y52" i="14" s="1"/>
  <c r="AA39" i="14"/>
  <c r="AA29" i="14"/>
  <c r="AA50" i="14"/>
  <c r="AA51" i="14" l="1"/>
  <c r="AA30" i="14"/>
  <c r="AA40" i="14"/>
  <c r="Z41" i="14"/>
  <c r="Z52" i="14" s="1"/>
  <c r="Z31" i="14"/>
  <c r="Z49" i="6"/>
  <c r="Z64" i="6" s="1"/>
  <c r="Z35" i="6"/>
  <c r="Z78" i="6"/>
  <c r="AB47" i="6"/>
  <c r="AB33" i="6"/>
  <c r="Y32" i="14"/>
  <c r="Y42" i="14"/>
  <c r="Y53" i="14" s="1"/>
  <c r="X51" i="6"/>
  <c r="X66" i="6" s="1"/>
  <c r="X80" i="6"/>
  <c r="X37" i="6"/>
  <c r="Y36" i="6"/>
  <c r="Y79" i="6"/>
  <c r="Y50" i="6"/>
  <c r="Y65" i="6" s="1"/>
  <c r="AB75" i="6"/>
  <c r="AB61" i="6"/>
  <c r="AA77" i="6"/>
  <c r="AA34" i="6"/>
  <c r="AA48" i="6"/>
  <c r="AA63" i="6" s="1"/>
  <c r="X52" i="6" l="1"/>
  <c r="X67" i="6" s="1"/>
  <c r="X81" i="6"/>
  <c r="Y33" i="14"/>
  <c r="Y44" i="14" s="1"/>
  <c r="Y55" i="14" s="1"/>
  <c r="Y43" i="14"/>
  <c r="Y54" i="14" s="1"/>
  <c r="AB62" i="6"/>
  <c r="AB76" i="6"/>
  <c r="Z36" i="6"/>
  <c r="Z79" i="6"/>
  <c r="Z50" i="6"/>
  <c r="Z65" i="6" s="1"/>
  <c r="Z32" i="14"/>
  <c r="Z42" i="14"/>
  <c r="Z53" i="14" s="1"/>
  <c r="AA35" i="6"/>
  <c r="AA49" i="6"/>
  <c r="AA64" i="6" s="1"/>
  <c r="AA78" i="6"/>
  <c r="Y80" i="6"/>
  <c r="Y51" i="6"/>
  <c r="Y66" i="6" s="1"/>
  <c r="Y37" i="6"/>
  <c r="AB34" i="6"/>
  <c r="AB48" i="6"/>
  <c r="AA31" i="14"/>
  <c r="AA41" i="14"/>
  <c r="AA52" i="14"/>
  <c r="AA53" i="14" l="1"/>
  <c r="AA42" i="14"/>
  <c r="AA32" i="14"/>
  <c r="AB35" i="6"/>
  <c r="AB49" i="6"/>
  <c r="AA36" i="6"/>
  <c r="AA79" i="6"/>
  <c r="AA50" i="6"/>
  <c r="AA65" i="6" s="1"/>
  <c r="Z43" i="14"/>
  <c r="Z54" i="14" s="1"/>
  <c r="Z33" i="14"/>
  <c r="AB63" i="6"/>
  <c r="AB77" i="6"/>
  <c r="Y52" i="6"/>
  <c r="Y67" i="6" s="1"/>
  <c r="Y38" i="6"/>
  <c r="Y81" i="6"/>
  <c r="Z51" i="6"/>
  <c r="Z66" i="6" s="1"/>
  <c r="Z37" i="6"/>
  <c r="Z80" i="6"/>
  <c r="Z52" i="6" l="1"/>
  <c r="Z67" i="6" s="1"/>
  <c r="Z38" i="6"/>
  <c r="Z81" i="6"/>
  <c r="AB64" i="6"/>
  <c r="AB78" i="6"/>
  <c r="AA54" i="14"/>
  <c r="AA33" i="14"/>
  <c r="AA43" i="14"/>
  <c r="Y82" i="6"/>
  <c r="Y53" i="6"/>
  <c r="Y68" i="6" s="1"/>
  <c r="Z34" i="14"/>
  <c r="Z45" i="14" s="1"/>
  <c r="Z56" i="14" s="1"/>
  <c r="Z44" i="14"/>
  <c r="Z55" i="14" s="1"/>
  <c r="AA37" i="6"/>
  <c r="AA51" i="6"/>
  <c r="AA66" i="6" s="1"/>
  <c r="AA80" i="6"/>
  <c r="AB36" i="6"/>
  <c r="AB50" i="6"/>
  <c r="AB51" i="6" l="1"/>
  <c r="AB37" i="6"/>
  <c r="Z39" i="6"/>
  <c r="Z53" i="6"/>
  <c r="Z68" i="6" s="1"/>
  <c r="Z82" i="6"/>
  <c r="AB79" i="6"/>
  <c r="AB65" i="6"/>
  <c r="AA52" i="6"/>
  <c r="AA67" i="6" s="1"/>
  <c r="AA81" i="6"/>
  <c r="AA38" i="6"/>
  <c r="AA44" i="14"/>
  <c r="AA55" i="14"/>
  <c r="AA34" i="14"/>
  <c r="AA39" i="6" l="1"/>
  <c r="AA82" i="6"/>
  <c r="AA53" i="6"/>
  <c r="AA68" i="6" s="1"/>
  <c r="AB38" i="6"/>
  <c r="AB52" i="6"/>
  <c r="AA56" i="14"/>
  <c r="AA45" i="14"/>
  <c r="AA35" i="14"/>
  <c r="Z54" i="6"/>
  <c r="Z69" i="6" s="1"/>
  <c r="Z83" i="6"/>
  <c r="AB66" i="6"/>
  <c r="AB80" i="6"/>
  <c r="AA46" i="14" l="1"/>
  <c r="AA57" i="14"/>
  <c r="AB39" i="6"/>
  <c r="AB53" i="6"/>
  <c r="AB81" i="6"/>
  <c r="AB67" i="6"/>
  <c r="AA40" i="6"/>
  <c r="AA83" i="6"/>
  <c r="AA54" i="6"/>
  <c r="AA69" i="6" s="1"/>
  <c r="AB68" i="6" l="1"/>
  <c r="AB82" i="6"/>
  <c r="AA55" i="6"/>
  <c r="AA70" i="6" s="1"/>
  <c r="AA84" i="6"/>
  <c r="AB54" i="6"/>
  <c r="AB40" i="6"/>
  <c r="AB41" i="6" l="1"/>
  <c r="AB56" i="6" s="1"/>
  <c r="AB55" i="6"/>
  <c r="AB83" i="6"/>
  <c r="AB69" i="6"/>
  <c r="AB70" i="6" l="1"/>
  <c r="AB84" i="6"/>
  <c r="AB85" i="6"/>
  <c r="AB71" i="6"/>
</calcChain>
</file>

<file path=xl/sharedStrings.xml><?xml version="1.0" encoding="utf-8"?>
<sst xmlns="http://schemas.openxmlformats.org/spreadsheetml/2006/main" count="215" uniqueCount="117">
  <si>
    <t>Spot Price</t>
  </si>
  <si>
    <t>Expiry Date</t>
  </si>
  <si>
    <t>Strike Price</t>
  </si>
  <si>
    <t>Risk-Free Interest Rate</t>
  </si>
  <si>
    <t>Time to Maturity</t>
  </si>
  <si>
    <t>Observed Option Price</t>
  </si>
  <si>
    <t>d1</t>
  </si>
  <si>
    <t>d2</t>
  </si>
  <si>
    <t>Dividend Yield</t>
  </si>
  <si>
    <t>Option type (C=1, P=-1)</t>
  </si>
  <si>
    <t>Step (dt)</t>
  </si>
  <si>
    <t>u</t>
  </si>
  <si>
    <t xml:space="preserve">   Up movement factor</t>
  </si>
  <si>
    <t>d</t>
  </si>
  <si>
    <t xml:space="preserve">   Down movement factor = 1/u</t>
  </si>
  <si>
    <t>Interest rate (rr, annual)</t>
  </si>
  <si>
    <t>p</t>
  </si>
  <si>
    <t xml:space="preserve">   Risk-neutral probability of up movement</t>
  </si>
  <si>
    <t>Volatility (sig, annual)</t>
  </si>
  <si>
    <t>emrdt</t>
  </si>
  <si>
    <t xml:space="preserve">   Discount factor per step, Exp(-rr*dt)</t>
  </si>
  <si>
    <t>Time to maturity (T, years)</t>
  </si>
  <si>
    <t xml:space="preserve">Number of steps (n) </t>
  </si>
  <si>
    <t>Dividend amount</t>
  </si>
  <si>
    <t>Time to ex-dividend date</t>
  </si>
  <si>
    <t>Step</t>
  </si>
  <si>
    <t>Time</t>
  </si>
  <si>
    <t>Stock price (uncertain part)</t>
  </si>
  <si>
    <t>Stock price (total)</t>
  </si>
  <si>
    <t xml:space="preserve">   Up movement multiplier </t>
  </si>
  <si>
    <t xml:space="preserve">   Down movement multiplier, = 1/u</t>
  </si>
  <si>
    <t xml:space="preserve">   Risk-neutral probability of up movement  </t>
  </si>
  <si>
    <t>Dividend yield (q, annual)</t>
  </si>
  <si>
    <t xml:space="preserve">   Discount factor per step, = Exp(-rr*dt)</t>
  </si>
  <si>
    <t>Stock price</t>
  </si>
  <si>
    <t>Market Call Option Price</t>
  </si>
  <si>
    <t>Exercise (Strike) price (K)</t>
  </si>
  <si>
    <t xml:space="preserve">Spot price (S) </t>
  </si>
  <si>
    <t>INSTITUTE OF TRADING &amp; PORTFOLIO MANAGEMENT</t>
  </si>
  <si>
    <t>Inputs</t>
  </si>
  <si>
    <t>Greeks</t>
  </si>
  <si>
    <t>Notes</t>
  </si>
  <si>
    <t>Call</t>
  </si>
  <si>
    <t>Put</t>
  </si>
  <si>
    <t>ln(S/X)</t>
  </si>
  <si>
    <t>t((r-q+(σ^2)/2)</t>
  </si>
  <si>
    <t>σ*sqrt(t)</t>
  </si>
  <si>
    <t>Delta</t>
  </si>
  <si>
    <t>Theta</t>
  </si>
  <si>
    <t>N(d1)</t>
  </si>
  <si>
    <t>N(-d1)</t>
  </si>
  <si>
    <t>N(d2)</t>
  </si>
  <si>
    <t>N(-d2)</t>
  </si>
  <si>
    <t>Gamma</t>
  </si>
  <si>
    <t>Vega</t>
  </si>
  <si>
    <t>e^(-rt)</t>
  </si>
  <si>
    <t>Xe^(-rt)</t>
  </si>
  <si>
    <t>e^(-qt)</t>
  </si>
  <si>
    <t>Se^(-qt)</t>
  </si>
  <si>
    <t>Rho</t>
  </si>
  <si>
    <t>Days to exp</t>
  </si>
  <si>
    <t>Expiry date</t>
  </si>
  <si>
    <t>Days to expiry</t>
  </si>
  <si>
    <t>Time to expiry (T, years)</t>
  </si>
  <si>
    <t>Black-Scholes Implied Volatility Calculator</t>
  </si>
  <si>
    <t>Difference^2</t>
  </si>
  <si>
    <t>Volatility (implied)</t>
  </si>
  <si>
    <t>Call/Put</t>
  </si>
  <si>
    <t>Ex-dividend date</t>
  </si>
  <si>
    <t>Call Price (Model)</t>
  </si>
  <si>
    <t>Put Price (Model)</t>
  </si>
  <si>
    <t>Binomial Implied Volatility Calculator (Discrete Dividend)</t>
  </si>
  <si>
    <t>European call price (Model)</t>
  </si>
  <si>
    <t>European or American exercise style?</t>
  </si>
  <si>
    <t>Binomial Implied Volatility Calculator (Yield)</t>
  </si>
  <si>
    <t>American</t>
  </si>
  <si>
    <r>
      <t xml:space="preserve">This sheet can be used to find implied volatilities in </t>
    </r>
    <r>
      <rPr>
        <b/>
        <i/>
        <sz val="11"/>
        <rFont val="Calibri"/>
        <family val="2"/>
        <scheme val="minor"/>
      </rPr>
      <t>European exercise style options with or without dividend yield</t>
    </r>
    <r>
      <rPr>
        <i/>
        <sz val="11"/>
        <rFont val="Calibri"/>
        <family val="2"/>
        <scheme val="minor"/>
      </rPr>
      <t xml:space="preserve">. It can also be used to find implied volatilities in </t>
    </r>
    <r>
      <rPr>
        <b/>
        <i/>
        <sz val="11"/>
        <rFont val="Calibri"/>
        <family val="2"/>
        <scheme val="minor"/>
      </rPr>
      <t>American exercise style options that pay no dividend</t>
    </r>
    <r>
      <rPr>
        <i/>
        <sz val="11"/>
        <rFont val="Calibri"/>
        <family val="2"/>
        <scheme val="minor"/>
      </rPr>
      <t>. The user can change cells C7:C13 and C16, and the rest is automated.Solver must be manual intiated to run the calculation.If solver struggles to find a solution,manually override the volatility assumption until the model and observed prices start converging, then retry solver. Manually overriding the volatility can also be used to calculate option prices.</t>
    </r>
  </si>
  <si>
    <r>
      <t xml:space="preserve">This sheet can be used to find implied volatilities for </t>
    </r>
    <r>
      <rPr>
        <b/>
        <i/>
        <sz val="11"/>
        <color theme="1"/>
        <rFont val="Calibri"/>
        <family val="2"/>
        <scheme val="minor"/>
      </rPr>
      <t>American exercise style options</t>
    </r>
    <r>
      <rPr>
        <i/>
        <sz val="11"/>
        <color theme="1"/>
        <rFont val="Calibri"/>
        <family val="2"/>
        <scheme val="minor"/>
      </rPr>
      <t xml:space="preserve"> </t>
    </r>
    <r>
      <rPr>
        <b/>
        <i/>
        <sz val="11"/>
        <color theme="1"/>
        <rFont val="Calibri"/>
        <family val="2"/>
        <scheme val="minor"/>
      </rPr>
      <t>with a dividend yield</t>
    </r>
    <r>
      <rPr>
        <i/>
        <sz val="11"/>
        <color theme="1"/>
        <rFont val="Calibri"/>
        <family val="2"/>
        <scheme val="minor"/>
      </rPr>
      <t>. The user can change cells C7:C9 and C11:C14, and the rest is automated.Solver must be manual intiated to run the calculation.If solver struggles to find a solution,manually override the volatility assumption until the model and observed prices start converging, then retry solver. Manually overriding the volatility can also be used to calculate option prices.</t>
    </r>
  </si>
  <si>
    <r>
      <t xml:space="preserve">This sheet can be used to find implied volatilities for </t>
    </r>
    <r>
      <rPr>
        <b/>
        <i/>
        <sz val="11"/>
        <color theme="1"/>
        <rFont val="Calibri"/>
        <family val="2"/>
        <scheme val="minor"/>
      </rPr>
      <t>American or European exercise style options</t>
    </r>
    <r>
      <rPr>
        <i/>
        <sz val="11"/>
        <color theme="1"/>
        <rFont val="Calibri"/>
        <family val="2"/>
        <scheme val="minor"/>
      </rPr>
      <t xml:space="preserve"> with a discrete dividend. The user can change cells C7:C10, C11, C15:16, and C18 and the rest is automated.Solver must be manual intiated to run the calculation.If solver struggles to find a solution,manually override the volatility assumption until the model and observed prices start converging, then retry solver.Manually overriding the volatility can also be used to calculate option prices.</t>
    </r>
  </si>
  <si>
    <t>CBOE</t>
  </si>
  <si>
    <t>www.cboe.com</t>
  </si>
  <si>
    <t>http://www.cboe.com/products/</t>
  </si>
  <si>
    <t>NASDAQ OMX</t>
  </si>
  <si>
    <t>www.nasdaqtrader.com</t>
  </si>
  <si>
    <t>http://www.nasdaqtrader.com/content/phlx/FXOptionsSpecsFS.pdf</t>
  </si>
  <si>
    <t>NYSE Euronext</t>
  </si>
  <si>
    <t>www.euronext.com</t>
  </si>
  <si>
    <t>NASDAQ</t>
  </si>
  <si>
    <t>http://nasdaq.com/options</t>
  </si>
  <si>
    <t>Options Data</t>
  </si>
  <si>
    <t>Risk-Free Rate</t>
  </si>
  <si>
    <t>http://www.treasury.gov/resource-center/data-chart-center/interest-rates/Pages/TextView.aspx?data=yield</t>
  </si>
  <si>
    <t>Short-term treasury yield rates can be used as a proxy for a risk-free rate</t>
  </si>
  <si>
    <t>Dividends</t>
  </si>
  <si>
    <t>http://finance.yahoo.com/</t>
  </si>
  <si>
    <t>http://nasdaq.com</t>
  </si>
  <si>
    <t>www.dividend.com</t>
  </si>
  <si>
    <t>Resources</t>
  </si>
  <si>
    <t>SIMPLIFIED VERSION OF IMPLIED VOLATILITY CALCULATOR</t>
  </si>
  <si>
    <t>INPUTS</t>
  </si>
  <si>
    <t>Known</t>
  </si>
  <si>
    <t>OUTPUT (Market Observed)</t>
  </si>
  <si>
    <t>Unknown (Vol)</t>
  </si>
  <si>
    <t>Option Price</t>
  </si>
  <si>
    <t>Implied Volatility Assessment</t>
  </si>
  <si>
    <t>Annual</t>
  </si>
  <si>
    <t>Monthly</t>
  </si>
  <si>
    <t>Weekly</t>
  </si>
  <si>
    <t>Daily</t>
  </si>
  <si>
    <t>Option Time Horizon</t>
  </si>
  <si>
    <t>Implied Volatility</t>
  </si>
  <si>
    <t>Timeframe</t>
  </si>
  <si>
    <t>Stock Price:</t>
  </si>
  <si>
    <t>Lower Bound</t>
  </si>
  <si>
    <t>Upper Bound</t>
  </si>
  <si>
    <t>2 Std Dev = 95%</t>
  </si>
  <si>
    <t>1 Std Dev = 68%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</si>
</sst>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0.000"/>
    <numFmt numFmtId="165" formatCode="0.0000"/>
    <numFmt numFmtId="166" formatCode="&quot;$&quot;#,##0.00"/>
    <numFmt numFmtId="167" formatCode="m/d/yy;@"/>
  </numFmts>
  <fonts count="2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u/>
      <sz val="10"/>
      <color theme="10"/>
      <name val="Arial"/>
      <family val="2"/>
    </font>
    <font>
      <b/>
      <sz val="10"/>
      <color rgb="FFFF000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u/>
      <sz val="10"/>
      <name val="Arial"/>
      <family val="2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0" fontId="6" fillId="0" borderId="0" applyNumberFormat="0" applyFill="0" applyBorder="0" applyAlignment="0" applyProtection="0"/>
    <xf numFmtId="0" fontId="8" fillId="0" borderId="0"/>
    <xf numFmtId="0" fontId="3" fillId="0" borderId="0"/>
    <xf numFmtId="0" fontId="2" fillId="0" borderId="0"/>
    <xf numFmtId="0" fontId="4" fillId="0" borderId="0"/>
  </cellStyleXfs>
  <cellXfs count="257">
    <xf numFmtId="0" fontId="0" fillId="0" borderId="0" xfId="0"/>
    <xf numFmtId="0" fontId="8" fillId="0" borderId="0" xfId="2"/>
    <xf numFmtId="0" fontId="13" fillId="3" borderId="2" xfId="4" applyFont="1" applyFill="1" applyBorder="1" applyAlignment="1" applyProtection="1">
      <alignment vertical="center"/>
    </xf>
    <xf numFmtId="0" fontId="13" fillId="5" borderId="0" xfId="4" applyFont="1" applyFill="1" applyBorder="1" applyAlignment="1">
      <alignment vertical="center"/>
    </xf>
    <xf numFmtId="0" fontId="13" fillId="5" borderId="0" xfId="4" applyFont="1" applyFill="1" applyBorder="1" applyAlignment="1" applyProtection="1">
      <alignment vertical="center"/>
      <protection hidden="1"/>
    </xf>
    <xf numFmtId="0" fontId="2" fillId="5" borderId="0" xfId="4" applyFill="1" applyBorder="1" applyProtection="1">
      <protection hidden="1"/>
    </xf>
    <xf numFmtId="0" fontId="2" fillId="5" borderId="0" xfId="4" applyFill="1" applyProtection="1">
      <protection hidden="1"/>
    </xf>
    <xf numFmtId="0" fontId="14" fillId="3" borderId="0" xfId="4" applyFont="1" applyFill="1" applyBorder="1" applyAlignment="1" applyProtection="1"/>
    <xf numFmtId="0" fontId="14" fillId="5" borderId="0" xfId="4" applyFont="1" applyFill="1" applyBorder="1" applyAlignment="1"/>
    <xf numFmtId="0" fontId="14" fillId="5" borderId="0" xfId="4" applyFont="1" applyFill="1" applyBorder="1" applyAlignment="1" applyProtection="1">
      <protection hidden="1"/>
    </xf>
    <xf numFmtId="0" fontId="2" fillId="3" borderId="0" xfId="4" applyFill="1" applyBorder="1" applyProtection="1"/>
    <xf numFmtId="0" fontId="11" fillId="3" borderId="0" xfId="4" applyFont="1" applyFill="1" applyBorder="1" applyAlignment="1" applyProtection="1">
      <alignment horizontal="center" vertical="center"/>
    </xf>
    <xf numFmtId="0" fontId="14" fillId="3" borderId="0" xfId="4" applyFont="1" applyFill="1" applyBorder="1" applyAlignment="1" applyProtection="1">
      <alignment horizontal="center"/>
    </xf>
    <xf numFmtId="0" fontId="14" fillId="5" borderId="0" xfId="4" applyFont="1" applyFill="1" applyBorder="1" applyAlignment="1">
      <alignment horizontal="center"/>
    </xf>
    <xf numFmtId="0" fontId="14" fillId="5" borderId="0" xfId="4" applyFont="1" applyFill="1" applyBorder="1" applyAlignment="1" applyProtection="1">
      <alignment horizontal="center"/>
      <protection hidden="1"/>
    </xf>
    <xf numFmtId="0" fontId="2" fillId="7" borderId="1" xfId="4" applyFill="1" applyBorder="1" applyProtection="1"/>
    <xf numFmtId="0" fontId="2" fillId="7" borderId="2" xfId="4" applyFill="1" applyBorder="1" applyProtection="1"/>
    <xf numFmtId="0" fontId="2" fillId="7" borderId="3" xfId="4" applyFill="1" applyBorder="1" applyProtection="1"/>
    <xf numFmtId="0" fontId="2" fillId="5" borderId="0" xfId="4" applyFill="1" applyBorder="1"/>
    <xf numFmtId="0" fontId="4" fillId="5" borderId="0" xfId="5" applyFont="1" applyFill="1" applyBorder="1" applyAlignment="1" applyProtection="1">
      <alignment vertical="center"/>
      <protection hidden="1"/>
    </xf>
    <xf numFmtId="0" fontId="4" fillId="6" borderId="7" xfId="5" applyFont="1" applyFill="1" applyBorder="1" applyAlignment="1" applyProtection="1">
      <alignment vertical="center"/>
    </xf>
    <xf numFmtId="0" fontId="4" fillId="3" borderId="0" xfId="5" applyFont="1" applyFill="1" applyBorder="1" applyAlignment="1" applyProtection="1">
      <alignment vertical="center"/>
    </xf>
    <xf numFmtId="0" fontId="4" fillId="7" borderId="7" xfId="5" applyFill="1" applyBorder="1" applyProtection="1"/>
    <xf numFmtId="165" fontId="2" fillId="7" borderId="0" xfId="4" applyNumberFormat="1" applyFill="1" applyBorder="1" applyProtection="1"/>
    <xf numFmtId="165" fontId="2" fillId="7" borderId="8" xfId="4" applyNumberFormat="1" applyFill="1" applyBorder="1" applyProtection="1"/>
    <xf numFmtId="10" fontId="5" fillId="3" borderId="0" xfId="5" applyNumberFormat="1" applyFont="1" applyFill="1" applyBorder="1" applyProtection="1"/>
    <xf numFmtId="0" fontId="10" fillId="5" borderId="0" xfId="5" applyFont="1" applyFill="1" applyBorder="1" applyAlignment="1" applyProtection="1">
      <alignment vertical="center"/>
      <protection hidden="1"/>
    </xf>
    <xf numFmtId="0" fontId="4" fillId="6" borderId="7" xfId="5" applyFill="1" applyBorder="1" applyAlignment="1" applyProtection="1">
      <alignment horizontal="left" vertical="center"/>
    </xf>
    <xf numFmtId="0" fontId="2" fillId="7" borderId="7" xfId="4" applyFill="1" applyBorder="1" applyProtection="1"/>
    <xf numFmtId="0" fontId="2" fillId="7" borderId="0" xfId="4" applyFill="1" applyBorder="1" applyProtection="1"/>
    <xf numFmtId="0" fontId="2" fillId="7" borderId="8" xfId="4" applyFill="1" applyBorder="1" applyProtection="1"/>
    <xf numFmtId="0" fontId="2" fillId="7" borderId="4" xfId="4" applyFill="1" applyBorder="1" applyProtection="1"/>
    <xf numFmtId="0" fontId="2" fillId="7" borderId="5" xfId="4" applyFill="1" applyBorder="1" applyProtection="1"/>
    <xf numFmtId="0" fontId="2" fillId="7" borderId="6" xfId="4" applyFill="1" applyBorder="1" applyProtection="1"/>
    <xf numFmtId="0" fontId="2" fillId="9" borderId="0" xfId="4" applyFill="1" applyBorder="1" applyProtection="1"/>
    <xf numFmtId="164" fontId="2" fillId="9" borderId="0" xfId="4" applyNumberFormat="1" applyFill="1" applyBorder="1" applyProtection="1"/>
    <xf numFmtId="0" fontId="2" fillId="5" borderId="0" xfId="4" applyFill="1" applyBorder="1" applyProtection="1"/>
    <xf numFmtId="0" fontId="2" fillId="5" borderId="0" xfId="4" applyFill="1" applyProtection="1"/>
    <xf numFmtId="0" fontId="2" fillId="5" borderId="0" xfId="4" applyFill="1"/>
    <xf numFmtId="0" fontId="4" fillId="0" borderId="0" xfId="5"/>
    <xf numFmtId="0" fontId="4" fillId="3" borderId="0" xfId="5" applyFill="1"/>
    <xf numFmtId="0" fontId="4" fillId="6" borderId="1" xfId="5" applyFill="1" applyBorder="1"/>
    <xf numFmtId="0" fontId="0" fillId="6" borderId="7" xfId="5" applyFont="1" applyFill="1" applyBorder="1"/>
    <xf numFmtId="0" fontId="4" fillId="7" borderId="7" xfId="5" applyFill="1" applyBorder="1"/>
    <xf numFmtId="0" fontId="4" fillId="7" borderId="0" xfId="5" applyFill="1" applyBorder="1"/>
    <xf numFmtId="0" fontId="4" fillId="7" borderId="8" xfId="5" applyFill="1" applyBorder="1"/>
    <xf numFmtId="2" fontId="4" fillId="6" borderId="8" xfId="5" applyNumberFormat="1" applyFill="1" applyBorder="1"/>
    <xf numFmtId="0" fontId="0" fillId="6" borderId="4" xfId="5" applyFont="1" applyFill="1" applyBorder="1"/>
    <xf numFmtId="0" fontId="4" fillId="6" borderId="6" xfId="5" applyFill="1" applyBorder="1"/>
    <xf numFmtId="0" fontId="4" fillId="7" borderId="4" xfId="5" applyFill="1" applyBorder="1"/>
    <xf numFmtId="0" fontId="4" fillId="7" borderId="5" xfId="5" applyFill="1" applyBorder="1"/>
    <xf numFmtId="0" fontId="4" fillId="7" borderId="6" xfId="5" applyFill="1" applyBorder="1"/>
    <xf numFmtId="0" fontId="4" fillId="9" borderId="0" xfId="5" applyFill="1" applyBorder="1"/>
    <xf numFmtId="0" fontId="12" fillId="9" borderId="0" xfId="4" applyFont="1" applyFill="1" applyBorder="1" applyAlignment="1" applyProtection="1">
      <alignment horizontal="center" vertical="center" wrapText="1"/>
    </xf>
    <xf numFmtId="0" fontId="4" fillId="3" borderId="0" xfId="5" applyFill="1" applyBorder="1"/>
    <xf numFmtId="0" fontId="2" fillId="6" borderId="4" xfId="4" applyFill="1" applyBorder="1" applyProtection="1"/>
    <xf numFmtId="0" fontId="4" fillId="10" borderId="3" xfId="5" applyFill="1" applyBorder="1" applyProtection="1">
      <protection locked="0"/>
    </xf>
    <xf numFmtId="10" fontId="4" fillId="10" borderId="8" xfId="5" applyNumberFormat="1" applyFill="1" applyBorder="1" applyProtection="1">
      <protection locked="0"/>
    </xf>
    <xf numFmtId="164" fontId="16" fillId="9" borderId="0" xfId="4" applyNumberFormat="1" applyFont="1" applyFill="1" applyBorder="1" applyProtection="1"/>
    <xf numFmtId="2" fontId="4" fillId="10" borderId="8" xfId="5" applyNumberFormat="1" applyFill="1" applyBorder="1" applyProtection="1">
      <protection locked="0"/>
    </xf>
    <xf numFmtId="4" fontId="4" fillId="9" borderId="0" xfId="5" applyNumberFormat="1" applyFill="1" applyBorder="1"/>
    <xf numFmtId="0" fontId="9" fillId="3" borderId="0" xfId="2" applyFont="1" applyFill="1"/>
    <xf numFmtId="0" fontId="8" fillId="3" borderId="0" xfId="2" applyFill="1"/>
    <xf numFmtId="0" fontId="8" fillId="6" borderId="1" xfId="2" applyFill="1" applyBorder="1"/>
    <xf numFmtId="0" fontId="8" fillId="6" borderId="7" xfId="2" applyFill="1" applyBorder="1"/>
    <xf numFmtId="2" fontId="8" fillId="6" borderId="8" xfId="2" applyNumberFormat="1" applyFill="1" applyBorder="1"/>
    <xf numFmtId="0" fontId="8" fillId="6" borderId="8" xfId="2" applyFill="1" applyBorder="1"/>
    <xf numFmtId="0" fontId="0" fillId="6" borderId="4" xfId="2" applyFont="1" applyFill="1" applyBorder="1"/>
    <xf numFmtId="14" fontId="8" fillId="3" borderId="0" xfId="2" applyNumberFormat="1" applyFill="1"/>
    <xf numFmtId="0" fontId="8" fillId="3" borderId="0" xfId="2" applyFill="1" applyBorder="1"/>
    <xf numFmtId="14" fontId="8" fillId="3" borderId="0" xfId="2" applyNumberFormat="1" applyFill="1" applyBorder="1"/>
    <xf numFmtId="2" fontId="8" fillId="3" borderId="0" xfId="2" applyNumberFormat="1" applyFill="1" applyBorder="1"/>
    <xf numFmtId="0" fontId="4" fillId="5" borderId="0" xfId="2" applyFont="1" applyFill="1" applyBorder="1"/>
    <xf numFmtId="2" fontId="8" fillId="5" borderId="0" xfId="2" applyNumberFormat="1" applyFill="1" applyBorder="1"/>
    <xf numFmtId="4" fontId="8" fillId="5" borderId="0" xfId="2" applyNumberFormat="1" applyFill="1" applyBorder="1"/>
    <xf numFmtId="0" fontId="8" fillId="10" borderId="3" xfId="2" applyFill="1" applyBorder="1" applyProtection="1">
      <protection locked="0"/>
    </xf>
    <xf numFmtId="166" fontId="8" fillId="10" borderId="8" xfId="2" applyNumberFormat="1" applyFill="1" applyBorder="1" applyProtection="1">
      <protection locked="0"/>
    </xf>
    <xf numFmtId="10" fontId="8" fillId="10" borderId="8" xfId="2" applyNumberFormat="1" applyFill="1" applyBorder="1" applyProtection="1">
      <protection locked="0"/>
    </xf>
    <xf numFmtId="164" fontId="4" fillId="10" borderId="6" xfId="5" applyNumberFormat="1" applyFont="1" applyFill="1" applyBorder="1" applyProtection="1">
      <protection locked="0"/>
    </xf>
    <xf numFmtId="0" fontId="8" fillId="0" borderId="0" xfId="2" applyProtection="1">
      <protection hidden="1"/>
    </xf>
    <xf numFmtId="0" fontId="7" fillId="0" borderId="0" xfId="2" applyFont="1" applyProtection="1">
      <protection hidden="1"/>
    </xf>
    <xf numFmtId="0" fontId="10" fillId="0" borderId="0" xfId="2" applyFont="1" applyProtection="1">
      <protection hidden="1"/>
    </xf>
    <xf numFmtId="165" fontId="5" fillId="0" borderId="0" xfId="2" applyNumberFormat="1" applyFont="1" applyProtection="1">
      <protection hidden="1"/>
    </xf>
    <xf numFmtId="0" fontId="8" fillId="0" borderId="0" xfId="2" quotePrefix="1" applyProtection="1">
      <protection hidden="1"/>
    </xf>
    <xf numFmtId="14" fontId="8" fillId="0" borderId="0" xfId="2" applyNumberFormat="1" applyProtection="1">
      <protection hidden="1"/>
    </xf>
    <xf numFmtId="0" fontId="5" fillId="0" borderId="0" xfId="2" applyFont="1" applyProtection="1">
      <protection hidden="1"/>
    </xf>
    <xf numFmtId="166" fontId="8" fillId="0" borderId="0" xfId="2" applyNumberFormat="1" applyProtection="1">
      <protection hidden="1"/>
    </xf>
    <xf numFmtId="2" fontId="5" fillId="0" borderId="0" xfId="2" applyNumberFormat="1" applyFont="1" applyProtection="1">
      <protection hidden="1"/>
    </xf>
    <xf numFmtId="0" fontId="5" fillId="0" borderId="0" xfId="2" applyFont="1" applyAlignment="1" applyProtection="1">
      <alignment horizontal="right"/>
      <protection hidden="1"/>
    </xf>
    <xf numFmtId="0" fontId="8" fillId="0" borderId="0" xfId="2" applyAlignment="1" applyProtection="1">
      <alignment horizontal="right"/>
      <protection hidden="1"/>
    </xf>
    <xf numFmtId="0" fontId="7" fillId="0" borderId="0" xfId="2" applyFont="1" applyAlignment="1" applyProtection="1">
      <alignment horizontal="right"/>
      <protection hidden="1"/>
    </xf>
    <xf numFmtId="166" fontId="8" fillId="2" borderId="9" xfId="2" applyNumberFormat="1" applyFill="1" applyBorder="1" applyProtection="1">
      <protection hidden="1"/>
    </xf>
    <xf numFmtId="166" fontId="5" fillId="0" borderId="0" xfId="2" applyNumberFormat="1" applyFont="1" applyProtection="1">
      <protection hidden="1"/>
    </xf>
    <xf numFmtId="2" fontId="8" fillId="10" borderId="8" xfId="2" applyNumberFormat="1" applyFill="1" applyBorder="1" applyProtection="1">
      <protection locked="0"/>
    </xf>
    <xf numFmtId="10" fontId="4" fillId="11" borderId="9" xfId="5" applyNumberFormat="1" applyFill="1" applyBorder="1" applyProtection="1">
      <protection locked="0"/>
    </xf>
    <xf numFmtId="10" fontId="8" fillId="11" borderId="9" xfId="2" applyNumberFormat="1" applyFill="1" applyBorder="1" applyProtection="1">
      <protection locked="0"/>
    </xf>
    <xf numFmtId="0" fontId="0" fillId="0" borderId="0" xfId="2" applyFont="1" applyAlignment="1" applyProtection="1">
      <alignment vertical="center" wrapText="1"/>
      <protection hidden="1"/>
    </xf>
    <xf numFmtId="0" fontId="8" fillId="0" borderId="0" xfId="2" applyAlignment="1" applyProtection="1">
      <alignment vertical="center" wrapText="1"/>
      <protection hidden="1"/>
    </xf>
    <xf numFmtId="167" fontId="8" fillId="10" borderId="8" xfId="2" applyNumberFormat="1" applyFill="1" applyBorder="1" applyProtection="1">
      <protection locked="0"/>
    </xf>
    <xf numFmtId="2" fontId="0" fillId="10" borderId="6" xfId="2" applyNumberFormat="1" applyFont="1" applyFill="1" applyBorder="1" applyProtection="1">
      <protection locked="0"/>
    </xf>
    <xf numFmtId="4" fontId="4" fillId="10" borderId="8" xfId="5" applyNumberFormat="1" applyFill="1" applyBorder="1" applyProtection="1">
      <protection locked="0"/>
    </xf>
    <xf numFmtId="0" fontId="15" fillId="9" borderId="0" xfId="4" applyFont="1" applyFill="1" applyBorder="1" applyAlignment="1" applyProtection="1">
      <alignment vertical="center" wrapText="1"/>
    </xf>
    <xf numFmtId="0" fontId="5" fillId="5" borderId="7" xfId="0" applyFont="1" applyFill="1" applyBorder="1"/>
    <xf numFmtId="0" fontId="18" fillId="5" borderId="0" xfId="4" applyFont="1" applyFill="1" applyBorder="1" applyProtection="1"/>
    <xf numFmtId="0" fontId="19" fillId="5" borderId="0" xfId="1" applyFont="1" applyFill="1" applyBorder="1" applyAlignment="1"/>
    <xf numFmtId="0" fontId="0" fillId="5" borderId="0" xfId="0" applyFont="1" applyFill="1" applyBorder="1" applyAlignment="1"/>
    <xf numFmtId="0" fontId="19" fillId="5" borderId="0" xfId="1" applyFont="1" applyFill="1" applyBorder="1" applyAlignment="1">
      <alignment vertical="center"/>
    </xf>
    <xf numFmtId="0" fontId="19" fillId="5" borderId="0" xfId="1" applyFont="1" applyFill="1" applyBorder="1"/>
    <xf numFmtId="0" fontId="19" fillId="5" borderId="0" xfId="1" applyFont="1" applyFill="1" applyBorder="1" applyAlignment="1">
      <alignment vertical="center" wrapText="1"/>
    </xf>
    <xf numFmtId="0" fontId="0" fillId="5" borderId="0" xfId="0" applyFont="1" applyFill="1" applyBorder="1" applyAlignment="1">
      <alignment wrapText="1"/>
    </xf>
    <xf numFmtId="0" fontId="0" fillId="5" borderId="8" xfId="0" applyFont="1" applyFill="1" applyBorder="1" applyAlignment="1">
      <alignment wrapText="1"/>
    </xf>
    <xf numFmtId="0" fontId="0" fillId="5" borderId="7" xfId="0" applyFont="1" applyFill="1" applyBorder="1"/>
    <xf numFmtId="0" fontId="0" fillId="5" borderId="0" xfId="0" applyFont="1" applyFill="1" applyBorder="1"/>
    <xf numFmtId="0" fontId="18" fillId="5" borderId="8" xfId="4" applyFont="1" applyFill="1" applyBorder="1" applyProtection="1"/>
    <xf numFmtId="0" fontId="19" fillId="5" borderId="7" xfId="1" applyFont="1" applyFill="1" applyBorder="1" applyAlignment="1"/>
    <xf numFmtId="0" fontId="19" fillId="5" borderId="7" xfId="1" applyFont="1" applyFill="1" applyBorder="1" applyAlignment="1">
      <alignment vertical="center"/>
    </xf>
    <xf numFmtId="0" fontId="18" fillId="5" borderId="7" xfId="4" applyFont="1" applyFill="1" applyBorder="1" applyProtection="1"/>
    <xf numFmtId="0" fontId="19" fillId="5" borderId="7" xfId="1" applyFont="1" applyFill="1" applyBorder="1" applyAlignment="1">
      <alignment vertical="center" wrapText="1"/>
    </xf>
    <xf numFmtId="0" fontId="19" fillId="5" borderId="8" xfId="1" applyFont="1" applyFill="1" applyBorder="1" applyAlignment="1">
      <alignment vertical="center" wrapText="1"/>
    </xf>
    <xf numFmtId="0" fontId="19" fillId="5" borderId="0" xfId="1" applyFont="1" applyFill="1" applyBorder="1" applyProtection="1"/>
    <xf numFmtId="0" fontId="18" fillId="5" borderId="4" xfId="4" applyFont="1" applyFill="1" applyBorder="1" applyProtection="1"/>
    <xf numFmtId="0" fontId="18" fillId="5" borderId="5" xfId="4" applyFont="1" applyFill="1" applyBorder="1" applyProtection="1"/>
    <xf numFmtId="0" fontId="18" fillId="5" borderId="6" xfId="4" applyFont="1" applyFill="1" applyBorder="1" applyProtection="1"/>
    <xf numFmtId="0" fontId="6" fillId="3" borderId="0" xfId="1" applyFill="1" applyBorder="1" applyAlignment="1">
      <alignment vertical="center" wrapText="1"/>
    </xf>
    <xf numFmtId="0" fontId="5" fillId="5" borderId="1" xfId="0" applyFont="1" applyFill="1" applyBorder="1"/>
    <xf numFmtId="0" fontId="18" fillId="5" borderId="2" xfId="4" applyFont="1" applyFill="1" applyBorder="1" applyProtection="1"/>
    <xf numFmtId="0" fontId="18" fillId="5" borderId="3" xfId="4" applyFont="1" applyFill="1" applyBorder="1" applyProtection="1"/>
    <xf numFmtId="0" fontId="7" fillId="6" borderId="1" xfId="5" applyFont="1" applyFill="1" applyBorder="1" applyAlignment="1" applyProtection="1">
      <alignment vertical="center"/>
    </xf>
    <xf numFmtId="0" fontId="7" fillId="6" borderId="7" xfId="5" applyFont="1" applyFill="1" applyBorder="1" applyAlignment="1" applyProtection="1">
      <alignment vertical="center"/>
    </xf>
    <xf numFmtId="0" fontId="7" fillId="6" borderId="7" xfId="5" applyFont="1" applyFill="1" applyBorder="1"/>
    <xf numFmtId="0" fontId="7" fillId="6" borderId="7" xfId="2" applyFont="1" applyFill="1" applyBorder="1"/>
    <xf numFmtId="0" fontId="0" fillId="5" borderId="1" xfId="5" applyFont="1" applyFill="1" applyBorder="1" applyAlignment="1" applyProtection="1">
      <protection hidden="1"/>
    </xf>
    <xf numFmtId="0" fontId="4" fillId="5" borderId="2" xfId="5" applyFill="1" applyBorder="1" applyAlignment="1"/>
    <xf numFmtId="0" fontId="4" fillId="5" borderId="3" xfId="5" applyFill="1" applyBorder="1" applyAlignment="1"/>
    <xf numFmtId="0" fontId="4" fillId="5" borderId="4" xfId="5" applyFill="1" applyBorder="1" applyAlignment="1" applyProtection="1">
      <protection hidden="1"/>
    </xf>
    <xf numFmtId="0" fontId="4" fillId="5" borderId="5" xfId="5" applyFill="1" applyBorder="1" applyAlignment="1" applyProtection="1">
      <protection hidden="1"/>
    </xf>
    <xf numFmtId="0" fontId="4" fillId="5" borderId="5" xfId="5" applyFill="1" applyBorder="1" applyAlignment="1"/>
    <xf numFmtId="0" fontId="4" fillId="5" borderId="6" xfId="5" applyFill="1" applyBorder="1" applyAlignment="1"/>
    <xf numFmtId="0" fontId="0" fillId="5" borderId="2" xfId="5" applyFont="1" applyFill="1" applyBorder="1" applyAlignment="1" applyProtection="1">
      <protection hidden="1"/>
    </xf>
    <xf numFmtId="0" fontId="0" fillId="5" borderId="2" xfId="5" applyFont="1" applyFill="1" applyBorder="1" applyAlignment="1"/>
    <xf numFmtId="0" fontId="4" fillId="5" borderId="0" xfId="5" applyFill="1"/>
    <xf numFmtId="0" fontId="4" fillId="5" borderId="0" xfId="5" applyFill="1" applyBorder="1"/>
    <xf numFmtId="0" fontId="4" fillId="5" borderId="0" xfId="5" applyFill="1" applyProtection="1">
      <protection hidden="1"/>
    </xf>
    <xf numFmtId="165" fontId="5" fillId="5" borderId="0" xfId="5" applyNumberFormat="1" applyFont="1" applyFill="1" applyProtection="1">
      <protection hidden="1"/>
    </xf>
    <xf numFmtId="0" fontId="5" fillId="5" borderId="0" xfId="5" applyFont="1" applyFill="1" applyAlignment="1" applyProtection="1">
      <alignment horizontal="right"/>
      <protection hidden="1"/>
    </xf>
    <xf numFmtId="0" fontId="5" fillId="5" borderId="0" xfId="5" applyFont="1" applyFill="1" applyProtection="1">
      <protection hidden="1"/>
    </xf>
    <xf numFmtId="2" fontId="5" fillId="5" borderId="0" xfId="5" applyNumberFormat="1" applyFont="1" applyFill="1" applyProtection="1">
      <protection hidden="1"/>
    </xf>
    <xf numFmtId="0" fontId="4" fillId="5" borderId="0" xfId="5" applyFill="1" applyAlignment="1" applyProtection="1">
      <alignment horizontal="right"/>
      <protection hidden="1"/>
    </xf>
    <xf numFmtId="166" fontId="4" fillId="5" borderId="0" xfId="5" applyNumberFormat="1" applyFill="1" applyProtection="1">
      <protection hidden="1"/>
    </xf>
    <xf numFmtId="166" fontId="5" fillId="5" borderId="9" xfId="5" applyNumberFormat="1" applyFont="1" applyFill="1" applyBorder="1" applyProtection="1">
      <protection hidden="1"/>
    </xf>
    <xf numFmtId="166" fontId="5" fillId="5" borderId="0" xfId="5" applyNumberFormat="1" applyFont="1" applyFill="1" applyProtection="1">
      <protection hidden="1"/>
    </xf>
    <xf numFmtId="0" fontId="4" fillId="9" borderId="0" xfId="5" applyFont="1" applyFill="1" applyBorder="1"/>
    <xf numFmtId="0" fontId="4" fillId="10" borderId="3" xfId="5" applyFont="1" applyFill="1" applyBorder="1" applyProtection="1">
      <protection locked="0"/>
    </xf>
    <xf numFmtId="0" fontId="4" fillId="10" borderId="8" xfId="5" applyFont="1" applyFill="1" applyBorder="1" applyProtection="1">
      <protection locked="0"/>
    </xf>
    <xf numFmtId="10" fontId="4" fillId="11" borderId="9" xfId="5" applyNumberFormat="1" applyFont="1" applyFill="1" applyBorder="1" applyProtection="1">
      <protection locked="0"/>
    </xf>
    <xf numFmtId="10" fontId="4" fillId="10" borderId="8" xfId="5" applyNumberFormat="1" applyFont="1" applyFill="1" applyBorder="1" applyProtection="1">
      <protection locked="0"/>
    </xf>
    <xf numFmtId="167" fontId="4" fillId="10" borderId="8" xfId="2" applyNumberFormat="1" applyFont="1" applyFill="1" applyBorder="1" applyProtection="1">
      <protection locked="0"/>
    </xf>
    <xf numFmtId="2" fontId="4" fillId="10" borderId="8" xfId="5" applyNumberFormat="1" applyFont="1" applyFill="1" applyBorder="1" applyProtection="1">
      <protection locked="0"/>
    </xf>
    <xf numFmtId="2" fontId="4" fillId="6" borderId="8" xfId="5" applyNumberFormat="1" applyFont="1" applyFill="1" applyBorder="1" applyProtection="1"/>
    <xf numFmtId="164" fontId="4" fillId="6" borderId="8" xfId="5" applyNumberFormat="1" applyFont="1" applyFill="1" applyBorder="1" applyProtection="1"/>
    <xf numFmtId="0" fontId="5" fillId="13" borderId="7" xfId="5" applyFont="1" applyFill="1" applyBorder="1"/>
    <xf numFmtId="0" fontId="5" fillId="13" borderId="0" xfId="5" applyFont="1" applyFill="1" applyBorder="1"/>
    <xf numFmtId="0" fontId="5" fillId="13" borderId="7" xfId="5" applyFont="1" applyFill="1" applyBorder="1" applyAlignment="1" applyProtection="1">
      <alignment vertical="center"/>
    </xf>
    <xf numFmtId="0" fontId="5" fillId="13" borderId="0" xfId="5" applyFont="1" applyFill="1" applyBorder="1" applyAlignment="1" applyProtection="1">
      <alignment vertical="center"/>
    </xf>
    <xf numFmtId="0" fontId="5" fillId="13" borderId="7" xfId="2" applyFont="1" applyFill="1" applyBorder="1"/>
    <xf numFmtId="0" fontId="5" fillId="13" borderId="0" xfId="2" applyFont="1" applyFill="1" applyBorder="1"/>
    <xf numFmtId="167" fontId="0" fillId="10" borderId="8" xfId="2" applyNumberFormat="1" applyFont="1" applyFill="1" applyBorder="1" applyProtection="1">
      <protection locked="0"/>
    </xf>
    <xf numFmtId="10" fontId="4" fillId="5" borderId="0" xfId="5" applyNumberFormat="1" applyFill="1" applyProtection="1">
      <protection hidden="1"/>
    </xf>
    <xf numFmtId="0" fontId="0" fillId="5" borderId="0" xfId="5" applyFont="1" applyFill="1" applyProtection="1">
      <protection hidden="1"/>
    </xf>
    <xf numFmtId="0" fontId="1" fillId="5" borderId="0" xfId="4" applyFont="1" applyFill="1" applyProtection="1">
      <protection hidden="1"/>
    </xf>
    <xf numFmtId="0" fontId="20" fillId="5" borderId="0" xfId="4" applyFont="1" applyFill="1" applyProtection="1">
      <protection hidden="1"/>
    </xf>
    <xf numFmtId="0" fontId="11" fillId="5" borderId="10" xfId="4" applyFont="1" applyFill="1" applyBorder="1"/>
    <xf numFmtId="0" fontId="21" fillId="5" borderId="12" xfId="4" applyFont="1" applyFill="1" applyBorder="1"/>
    <xf numFmtId="0" fontId="2" fillId="5" borderId="13" xfId="4" applyFill="1" applyBorder="1"/>
    <xf numFmtId="0" fontId="1" fillId="5" borderId="15" xfId="4" applyFont="1" applyFill="1" applyBorder="1" applyProtection="1">
      <protection hidden="1"/>
    </xf>
    <xf numFmtId="10" fontId="2" fillId="5" borderId="0" xfId="4" applyNumberFormat="1" applyFill="1" applyBorder="1" applyProtection="1">
      <protection hidden="1"/>
    </xf>
    <xf numFmtId="0" fontId="1" fillId="5" borderId="17" xfId="4" applyFont="1" applyFill="1" applyBorder="1" applyProtection="1">
      <protection hidden="1"/>
    </xf>
    <xf numFmtId="0" fontId="2" fillId="5" borderId="18" xfId="4" applyFill="1" applyBorder="1" applyProtection="1">
      <protection hidden="1"/>
    </xf>
    <xf numFmtId="10" fontId="2" fillId="5" borderId="18" xfId="4" applyNumberFormat="1" applyFill="1" applyBorder="1" applyProtection="1">
      <protection hidden="1"/>
    </xf>
    <xf numFmtId="0" fontId="1" fillId="5" borderId="12" xfId="4" applyFont="1" applyFill="1" applyBorder="1"/>
    <xf numFmtId="10" fontId="2" fillId="5" borderId="13" xfId="4" applyNumberFormat="1" applyFill="1" applyBorder="1"/>
    <xf numFmtId="0" fontId="20" fillId="5" borderId="12" xfId="4" applyFont="1" applyFill="1" applyBorder="1"/>
    <xf numFmtId="0" fontId="20" fillId="5" borderId="13" xfId="4" applyFont="1" applyFill="1" applyBorder="1"/>
    <xf numFmtId="0" fontId="20" fillId="5" borderId="14" xfId="4" applyFont="1" applyFill="1" applyBorder="1"/>
    <xf numFmtId="2" fontId="2" fillId="5" borderId="12" xfId="4" applyNumberFormat="1" applyFill="1" applyBorder="1"/>
    <xf numFmtId="2" fontId="2" fillId="5" borderId="14" xfId="4" applyNumberFormat="1" applyFill="1" applyBorder="1"/>
    <xf numFmtId="2" fontId="2" fillId="5" borderId="15" xfId="4" applyNumberFormat="1" applyFill="1" applyBorder="1"/>
    <xf numFmtId="2" fontId="2" fillId="5" borderId="16" xfId="4" applyNumberFormat="1" applyFill="1" applyBorder="1"/>
    <xf numFmtId="2" fontId="2" fillId="5" borderId="17" xfId="4" applyNumberFormat="1" applyFill="1" applyBorder="1"/>
    <xf numFmtId="2" fontId="2" fillId="5" borderId="19" xfId="4" applyNumberFormat="1" applyFill="1" applyBorder="1"/>
    <xf numFmtId="0" fontId="6" fillId="5" borderId="0" xfId="1" applyFill="1" applyBorder="1" applyAlignment="1">
      <alignment vertical="center" wrapText="1"/>
    </xf>
    <xf numFmtId="0" fontId="20" fillId="5" borderId="10" xfId="4" applyFont="1" applyFill="1" applyBorder="1"/>
    <xf numFmtId="0" fontId="20" fillId="5" borderId="11" xfId="4" applyFont="1" applyFill="1" applyBorder="1"/>
    <xf numFmtId="0" fontId="2" fillId="5" borderId="11" xfId="4" applyFill="1" applyBorder="1"/>
    <xf numFmtId="4" fontId="2" fillId="5" borderId="11" xfId="4" applyNumberFormat="1" applyFill="1" applyBorder="1"/>
    <xf numFmtId="0" fontId="19" fillId="5" borderId="0" xfId="1" applyFont="1" applyFill="1" applyBorder="1" applyAlignment="1">
      <alignment horizontal="left"/>
    </xf>
    <xf numFmtId="0" fontId="19" fillId="5" borderId="7" xfId="1" applyFont="1" applyFill="1" applyBorder="1" applyAlignment="1">
      <alignment horizontal="left" vertical="center" wrapText="1"/>
    </xf>
    <xf numFmtId="0" fontId="19" fillId="5" borderId="0" xfId="1" applyFont="1" applyFill="1" applyBorder="1" applyAlignment="1">
      <alignment horizontal="left" vertical="center" wrapText="1"/>
    </xf>
    <xf numFmtId="0" fontId="5" fillId="5" borderId="9" xfId="5" applyFont="1" applyFill="1" applyBorder="1" applyAlignment="1" applyProtection="1">
      <alignment horizontal="center"/>
      <protection hidden="1"/>
    </xf>
    <xf numFmtId="0" fontId="0" fillId="5" borderId="1" xfId="5" applyFont="1" applyFill="1" applyBorder="1" applyAlignment="1" applyProtection="1">
      <alignment horizontal="center"/>
      <protection hidden="1"/>
    </xf>
    <xf numFmtId="0" fontId="0" fillId="5" borderId="2" xfId="5" applyFont="1" applyFill="1" applyBorder="1" applyAlignment="1" applyProtection="1">
      <alignment horizontal="center"/>
      <protection hidden="1"/>
    </xf>
    <xf numFmtId="0" fontId="0" fillId="5" borderId="3" xfId="5" applyFont="1" applyFill="1" applyBorder="1" applyAlignment="1" applyProtection="1">
      <alignment horizontal="center"/>
      <protection hidden="1"/>
    </xf>
    <xf numFmtId="0" fontId="0" fillId="5" borderId="4" xfId="5" applyFont="1" applyFill="1" applyBorder="1" applyAlignment="1" applyProtection="1">
      <alignment horizontal="center"/>
      <protection hidden="1"/>
    </xf>
    <xf numFmtId="0" fontId="0" fillId="5" borderId="5" xfId="5" applyFont="1" applyFill="1" applyBorder="1" applyAlignment="1" applyProtection="1">
      <alignment horizontal="center"/>
      <protection hidden="1"/>
    </xf>
    <xf numFmtId="0" fontId="0" fillId="5" borderId="6" xfId="5" applyFont="1" applyFill="1" applyBorder="1" applyAlignment="1" applyProtection="1">
      <alignment horizontal="center"/>
      <protection hidden="1"/>
    </xf>
    <xf numFmtId="0" fontId="0" fillId="5" borderId="1" xfId="5" applyFont="1" applyFill="1" applyBorder="1" applyAlignment="1">
      <alignment horizontal="center"/>
    </xf>
    <xf numFmtId="0" fontId="0" fillId="5" borderId="2" xfId="5" applyFont="1" applyFill="1" applyBorder="1" applyAlignment="1">
      <alignment horizontal="center"/>
    </xf>
    <xf numFmtId="0" fontId="0" fillId="5" borderId="3" xfId="5" applyFont="1" applyFill="1" applyBorder="1" applyAlignment="1">
      <alignment horizontal="center"/>
    </xf>
    <xf numFmtId="0" fontId="0" fillId="5" borderId="4" xfId="5" applyFont="1" applyFill="1" applyBorder="1" applyAlignment="1">
      <alignment horizontal="center"/>
    </xf>
    <xf numFmtId="0" fontId="0" fillId="5" borderId="5" xfId="5" applyFont="1" applyFill="1" applyBorder="1" applyAlignment="1">
      <alignment horizontal="center"/>
    </xf>
    <xf numFmtId="0" fontId="0" fillId="5" borderId="6" xfId="5" applyFont="1" applyFill="1" applyBorder="1" applyAlignment="1">
      <alignment horizontal="center"/>
    </xf>
    <xf numFmtId="0" fontId="15" fillId="8" borderId="1" xfId="4" applyFont="1" applyFill="1" applyBorder="1" applyAlignment="1" applyProtection="1">
      <alignment horizontal="center" vertical="center" wrapText="1"/>
    </xf>
    <xf numFmtId="0" fontId="15" fillId="8" borderId="2" xfId="4" applyFont="1" applyFill="1" applyBorder="1" applyAlignment="1" applyProtection="1">
      <alignment horizontal="center" vertical="center" wrapText="1"/>
    </xf>
    <xf numFmtId="0" fontId="15" fillId="8" borderId="3" xfId="4" applyFont="1" applyFill="1" applyBorder="1" applyAlignment="1" applyProtection="1">
      <alignment horizontal="center" vertical="center" wrapText="1"/>
    </xf>
    <xf numFmtId="0" fontId="15" fillId="8" borderId="7" xfId="4" applyFont="1" applyFill="1" applyBorder="1" applyAlignment="1" applyProtection="1">
      <alignment horizontal="center" vertical="center" wrapText="1"/>
    </xf>
    <xf numFmtId="0" fontId="15" fillId="8" borderId="0" xfId="4" applyFont="1" applyFill="1" applyBorder="1" applyAlignment="1" applyProtection="1">
      <alignment horizontal="center" vertical="center" wrapText="1"/>
    </xf>
    <xf numFmtId="0" fontId="15" fillId="8" borderId="8" xfId="4" applyFont="1" applyFill="1" applyBorder="1" applyAlignment="1" applyProtection="1">
      <alignment horizontal="center" vertical="center" wrapText="1"/>
    </xf>
    <xf numFmtId="0" fontId="15" fillId="8" borderId="4" xfId="4" applyFont="1" applyFill="1" applyBorder="1" applyAlignment="1" applyProtection="1">
      <alignment horizontal="center" vertical="center" wrapText="1"/>
    </xf>
    <xf numFmtId="0" fontId="15" fillId="8" borderId="5" xfId="4" applyFont="1" applyFill="1" applyBorder="1" applyAlignment="1" applyProtection="1">
      <alignment horizontal="center" vertical="center" wrapText="1"/>
    </xf>
    <xf numFmtId="0" fontId="15" fillId="8" borderId="6" xfId="4" applyFont="1" applyFill="1" applyBorder="1" applyAlignment="1" applyProtection="1">
      <alignment horizontal="center" vertical="center" wrapText="1"/>
    </xf>
    <xf numFmtId="0" fontId="13" fillId="4" borderId="0" xfId="4" applyFont="1" applyFill="1" applyBorder="1" applyAlignment="1" applyProtection="1">
      <alignment horizontal="center" vertical="center"/>
    </xf>
    <xf numFmtId="0" fontId="14" fillId="4" borderId="0" xfId="4" applyFont="1" applyFill="1" applyBorder="1" applyAlignment="1" applyProtection="1">
      <alignment horizontal="center"/>
    </xf>
    <xf numFmtId="0" fontId="11" fillId="6" borderId="1" xfId="4" applyFont="1" applyFill="1" applyBorder="1" applyAlignment="1" applyProtection="1">
      <alignment horizontal="center" vertical="center"/>
    </xf>
    <xf numFmtId="0" fontId="11" fillId="6" borderId="3" xfId="4" applyFont="1" applyFill="1" applyBorder="1" applyAlignment="1" applyProtection="1">
      <alignment horizontal="center" vertical="center"/>
    </xf>
    <xf numFmtId="0" fontId="11" fillId="6" borderId="4" xfId="4" applyFont="1" applyFill="1" applyBorder="1" applyAlignment="1" applyProtection="1">
      <alignment horizontal="center" vertical="center"/>
    </xf>
    <xf numFmtId="0" fontId="11" fillId="6" borderId="6" xfId="4" applyFont="1" applyFill="1" applyBorder="1" applyAlignment="1" applyProtection="1">
      <alignment horizontal="center" vertical="center"/>
    </xf>
    <xf numFmtId="0" fontId="11" fillId="7" borderId="1" xfId="4" applyFont="1" applyFill="1" applyBorder="1" applyAlignment="1" applyProtection="1">
      <alignment horizontal="center" vertical="center"/>
    </xf>
    <xf numFmtId="0" fontId="11" fillId="7" borderId="2" xfId="4" applyFont="1" applyFill="1" applyBorder="1" applyAlignment="1" applyProtection="1">
      <alignment horizontal="center" vertical="center"/>
    </xf>
    <xf numFmtId="0" fontId="11" fillId="7" borderId="3" xfId="4" applyFont="1" applyFill="1" applyBorder="1" applyAlignment="1" applyProtection="1">
      <alignment horizontal="center" vertical="center"/>
    </xf>
    <xf numFmtId="0" fontId="11" fillId="7" borderId="4" xfId="4" applyFont="1" applyFill="1" applyBorder="1" applyAlignment="1" applyProtection="1">
      <alignment horizontal="center" vertical="center"/>
    </xf>
    <xf numFmtId="0" fontId="11" fillId="7" borderId="5" xfId="4" applyFont="1" applyFill="1" applyBorder="1" applyAlignment="1" applyProtection="1">
      <alignment horizontal="center" vertical="center"/>
    </xf>
    <xf numFmtId="0" fontId="11" fillId="7" borderId="6" xfId="4" applyFont="1" applyFill="1" applyBorder="1" applyAlignment="1" applyProtection="1">
      <alignment horizontal="center" vertical="center"/>
    </xf>
    <xf numFmtId="0" fontId="11" fillId="8" borderId="1" xfId="4" applyFont="1" applyFill="1" applyBorder="1" applyAlignment="1" applyProtection="1">
      <alignment horizontal="center" vertical="center"/>
    </xf>
    <xf numFmtId="0" fontId="11" fillId="8" borderId="2" xfId="4" applyFont="1" applyFill="1" applyBorder="1" applyAlignment="1" applyProtection="1">
      <alignment horizontal="center" vertical="center"/>
    </xf>
    <xf numFmtId="0" fontId="11" fillId="8" borderId="3" xfId="4" applyFont="1" applyFill="1" applyBorder="1" applyAlignment="1" applyProtection="1">
      <alignment horizontal="center" vertical="center"/>
    </xf>
    <xf numFmtId="0" fontId="11" fillId="8" borderId="4" xfId="4" applyFont="1" applyFill="1" applyBorder="1" applyAlignment="1" applyProtection="1">
      <alignment horizontal="center" vertical="center"/>
    </xf>
    <xf numFmtId="0" fontId="11" fillId="8" borderId="5" xfId="4" applyFont="1" applyFill="1" applyBorder="1" applyAlignment="1" applyProtection="1">
      <alignment horizontal="center" vertical="center"/>
    </xf>
    <xf numFmtId="0" fontId="11" fillId="8" borderId="6" xfId="4" applyFont="1" applyFill="1" applyBorder="1" applyAlignment="1" applyProtection="1">
      <alignment horizontal="center" vertical="center"/>
    </xf>
    <xf numFmtId="0" fontId="11" fillId="5" borderId="12" xfId="4" applyFont="1" applyFill="1" applyBorder="1" applyAlignment="1">
      <alignment horizontal="center"/>
    </xf>
    <xf numFmtId="0" fontId="11" fillId="5" borderId="14" xfId="4" applyFont="1" applyFill="1" applyBorder="1" applyAlignment="1">
      <alignment horizontal="center"/>
    </xf>
    <xf numFmtId="0" fontId="11" fillId="12" borderId="1" xfId="4" applyFont="1" applyFill="1" applyBorder="1" applyAlignment="1" applyProtection="1">
      <alignment horizontal="center" vertical="center"/>
    </xf>
    <xf numFmtId="0" fontId="11" fillId="12" borderId="2" xfId="4" applyFont="1" applyFill="1" applyBorder="1" applyAlignment="1" applyProtection="1">
      <alignment horizontal="center" vertical="center"/>
    </xf>
    <xf numFmtId="0" fontId="11" fillId="12" borderId="3" xfId="4" applyFont="1" applyFill="1" applyBorder="1" applyAlignment="1" applyProtection="1">
      <alignment horizontal="center" vertical="center"/>
    </xf>
    <xf numFmtId="0" fontId="11" fillId="12" borderId="4" xfId="4" applyFont="1" applyFill="1" applyBorder="1" applyAlignment="1" applyProtection="1">
      <alignment horizontal="center" vertical="center"/>
    </xf>
    <xf numFmtId="0" fontId="11" fillId="12" borderId="5" xfId="4" applyFont="1" applyFill="1" applyBorder="1" applyAlignment="1" applyProtection="1">
      <alignment horizontal="center" vertical="center"/>
    </xf>
    <xf numFmtId="0" fontId="11" fillId="12" borderId="6" xfId="4" applyFont="1" applyFill="1" applyBorder="1" applyAlignment="1" applyProtection="1">
      <alignment horizontal="center" vertical="center"/>
    </xf>
    <xf numFmtId="0" fontId="0" fillId="5" borderId="0" xfId="0" applyFont="1" applyFill="1" applyBorder="1" applyAlignment="1">
      <alignment horizontal="left" wrapText="1"/>
    </xf>
    <xf numFmtId="0" fontId="11" fillId="5" borderId="13" xfId="4" applyFont="1" applyFill="1" applyBorder="1" applyAlignment="1">
      <alignment horizontal="center"/>
    </xf>
    <xf numFmtId="0" fontId="12" fillId="8" borderId="1" xfId="4" applyFont="1" applyFill="1" applyBorder="1" applyAlignment="1" applyProtection="1">
      <alignment horizontal="center" vertical="center" wrapText="1"/>
    </xf>
    <xf numFmtId="0" fontId="12" fillId="8" borderId="2" xfId="4" applyFont="1" applyFill="1" applyBorder="1" applyAlignment="1" applyProtection="1">
      <alignment horizontal="center" vertical="center" wrapText="1"/>
    </xf>
    <xf numFmtId="0" fontId="12" fillId="8" borderId="3" xfId="4" applyFont="1" applyFill="1" applyBorder="1" applyAlignment="1" applyProtection="1">
      <alignment horizontal="center" vertical="center" wrapText="1"/>
    </xf>
    <xf numFmtId="0" fontId="12" fillId="8" borderId="7" xfId="4" applyFont="1" applyFill="1" applyBorder="1" applyAlignment="1" applyProtection="1">
      <alignment horizontal="center" vertical="center" wrapText="1"/>
    </xf>
    <xf numFmtId="0" fontId="12" fillId="8" borderId="0" xfId="4" applyFont="1" applyFill="1" applyBorder="1" applyAlignment="1" applyProtection="1">
      <alignment horizontal="center" vertical="center" wrapText="1"/>
    </xf>
    <xf numFmtId="0" fontId="12" fillId="8" borderId="8" xfId="4" applyFont="1" applyFill="1" applyBorder="1" applyAlignment="1" applyProtection="1">
      <alignment horizontal="center" vertical="center" wrapText="1"/>
    </xf>
    <xf numFmtId="0" fontId="12" fillId="8" borderId="4" xfId="4" applyFont="1" applyFill="1" applyBorder="1" applyAlignment="1" applyProtection="1">
      <alignment horizontal="center" vertical="center" wrapText="1"/>
    </xf>
    <xf numFmtId="0" fontId="12" fillId="8" borderId="5" xfId="4" applyFont="1" applyFill="1" applyBorder="1" applyAlignment="1" applyProtection="1">
      <alignment horizontal="center" vertical="center" wrapText="1"/>
    </xf>
    <xf numFmtId="0" fontId="12" fillId="8" borderId="6" xfId="4" applyFont="1" applyFill="1" applyBorder="1" applyAlignment="1" applyProtection="1">
      <alignment horizontal="center" vertical="center" wrapText="1"/>
    </xf>
  </cellXfs>
  <cellStyles count="6">
    <cellStyle name="Hiperligação" xfId="1" builtinId="8"/>
    <cellStyle name="Normal" xfId="0" builtinId="0"/>
    <cellStyle name="Normal 2" xfId="2" xr:uid="{00000000-0005-0000-0000-000002000000}"/>
    <cellStyle name="Normal 2 2" xfId="5" xr:uid="{00000000-0005-0000-0000-000003000000}"/>
    <cellStyle name="Normal 3" xfId="3" xr:uid="{00000000-0005-0000-0000-000004000000}"/>
    <cellStyle name="Normal 4" xfId="4" xr:uid="{00000000-0005-0000-0000-000005000000}"/>
  </cellStyles>
  <dxfs count="4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</dxfs>
  <tableStyles count="1" defaultTableStyle="TableStyleMedium2" defaultPivotStyle="PivotStyleLight16">
    <tableStyle name="MySqlDefault" pivot="0" table="0" count="2" xr9:uid="{0E965B86-DED4-42E7-B443-803721C9D42C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637761</xdr:colOff>
      <xdr:row>4</xdr:row>
      <xdr:rowOff>139147</xdr:rowOff>
    </xdr:from>
    <xdr:ext cx="4076699" cy="26770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1B2A170F-8C8D-48CE-B39A-AFA22E9BD3A6}"/>
                </a:ext>
              </a:extLst>
            </xdr:cNvPr>
            <xdr:cNvSpPr txBox="1"/>
          </xdr:nvSpPr>
          <xdr:spPr>
            <a:xfrm>
              <a:off x="10626587" y="942560"/>
              <a:ext cx="4076699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GB" sz="1100" i="1">
                        <a:latin typeface="Cambria Math"/>
                      </a:rPr>
                      <m:t>𝐴</m:t>
                    </m:r>
                    <m:r>
                      <a:rPr lang="en-GB" sz="1100" b="0" i="1">
                        <a:latin typeface="Cambria Math"/>
                      </a:rPr>
                      <m:t>     </m:t>
                    </m:r>
                    <m:r>
                      <a:rPr lang="en-GB" sz="1100" b="0" i="1">
                        <a:latin typeface="Cambria Math" panose="02040503050406030204" pitchFamily="18" charset="0"/>
                      </a:rPr>
                      <m:t>+</m:t>
                    </m:r>
                    <m:r>
                      <a:rPr lang="en-GB" sz="1100" b="0" i="1">
                        <a:latin typeface="Cambria Math"/>
                        <a:ea typeface="Cambria Math"/>
                      </a:rPr>
                      <m:t>      </m:t>
                    </m:r>
                    <m:r>
                      <a:rPr lang="en-GB" sz="1100" b="0" i="1">
                        <a:latin typeface="Cambria Math"/>
                        <a:ea typeface="Cambria Math"/>
                      </a:rPr>
                      <m:t>𝐵</m:t>
                    </m:r>
                    <m:r>
                      <a:rPr lang="en-GB" sz="1100" b="0" i="1">
                        <a:latin typeface="Cambria Math"/>
                        <a:ea typeface="Cambria Math"/>
                      </a:rPr>
                      <m:t>                     =                                                      </m:t>
                    </m:r>
                    <m:r>
                      <a:rPr lang="en-GB" sz="1100" b="0" i="1">
                        <a:latin typeface="Cambria Math"/>
                      </a:rPr>
                      <m:t>𝐶</m:t>
                    </m:r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1B2A170F-8C8D-48CE-B39A-AFA22E9BD3A6}"/>
                </a:ext>
              </a:extLst>
            </xdr:cNvPr>
            <xdr:cNvSpPr txBox="1"/>
          </xdr:nvSpPr>
          <xdr:spPr>
            <a:xfrm>
              <a:off x="10626587" y="942560"/>
              <a:ext cx="4076699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GB" sz="1100" i="0">
                  <a:latin typeface="Cambria Math"/>
                </a:rPr>
                <a:t>𝐴</a:t>
              </a:r>
              <a:r>
                <a:rPr lang="en-GB" sz="1100" b="0" i="0">
                  <a:latin typeface="Cambria Math"/>
                </a:rPr>
                <a:t>     </a:t>
              </a:r>
              <a:r>
                <a:rPr lang="en-GB" sz="1100" b="0" i="0">
                  <a:latin typeface="Cambria Math" panose="02040503050406030204" pitchFamily="18" charset="0"/>
                </a:rPr>
                <a:t>+</a:t>
              </a:r>
              <a:r>
                <a:rPr lang="en-GB" sz="1100" b="0" i="0">
                  <a:latin typeface="Cambria Math"/>
                  <a:ea typeface="Cambria Math"/>
                </a:rPr>
                <a:t>      𝐵                     =                        </a:t>
              </a:r>
              <a:r>
                <a:rPr lang="en-GB" sz="1100" b="0" i="0">
                  <a:latin typeface="Cambria Math" panose="02040503050406030204" pitchFamily="18" charset="0"/>
                  <a:ea typeface="Cambria Math"/>
                </a:rPr>
                <a:t>                              </a:t>
              </a:r>
              <a:r>
                <a:rPr lang="en-GB" sz="1100" b="0" i="0">
                  <a:latin typeface="Cambria Math"/>
                </a:rPr>
                <a:t>𝐶</a:t>
              </a:r>
              <a:endParaRPr lang="en-GB" sz="1100"/>
            </a:p>
          </xdr:txBody>
        </xdr:sp>
      </mc:Fallback>
    </mc:AlternateContent>
    <xdr:clientData/>
  </xdr:oneCellAnchor>
  <xdr:twoCellAnchor editAs="oneCell">
    <xdr:from>
      <xdr:col>23</xdr:col>
      <xdr:colOff>598608</xdr:colOff>
      <xdr:row>17</xdr:row>
      <xdr:rowOff>2525</xdr:rowOff>
    </xdr:from>
    <xdr:to>
      <xdr:col>31</xdr:col>
      <xdr:colOff>745436</xdr:colOff>
      <xdr:row>34</xdr:row>
      <xdr:rowOff>103456</xdr:rowOff>
    </xdr:to>
    <xdr:pic>
      <xdr:nvPicPr>
        <xdr:cNvPr id="5" name="Picture 4" descr="Image result for normal distribution">
          <a:extLst>
            <a:ext uri="{FF2B5EF4-FFF2-40B4-BE49-F238E27FC236}">
              <a16:creationId xmlns:a16="http://schemas.microsoft.com/office/drawing/2014/main" id="{F4F110CA-4E37-4118-B515-786B3D265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7651" y="3323851"/>
          <a:ext cx="6333937" cy="31489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57150</xdr:colOff>
      <xdr:row>16</xdr:row>
      <xdr:rowOff>76200</xdr:rowOff>
    </xdr:from>
    <xdr:to>
      <xdr:col>36</xdr:col>
      <xdr:colOff>742762</xdr:colOff>
      <xdr:row>33</xdr:row>
      <xdr:rowOff>100931</xdr:rowOff>
    </xdr:to>
    <xdr:pic>
      <xdr:nvPicPr>
        <xdr:cNvPr id="2" name="Picture 1" descr="Image result for normal distribution">
          <a:extLst>
            <a:ext uri="{FF2B5EF4-FFF2-40B4-BE49-F238E27FC236}">
              <a16:creationId xmlns:a16="http://schemas.microsoft.com/office/drawing/2014/main" id="{9680BA5F-3A96-4944-9665-238CE44F6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028950"/>
          <a:ext cx="6333937" cy="31489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57150</xdr:colOff>
      <xdr:row>13</xdr:row>
      <xdr:rowOff>9525</xdr:rowOff>
    </xdr:from>
    <xdr:to>
      <xdr:col>37</xdr:col>
      <xdr:colOff>780862</xdr:colOff>
      <xdr:row>31</xdr:row>
      <xdr:rowOff>43781</xdr:rowOff>
    </xdr:to>
    <xdr:pic>
      <xdr:nvPicPr>
        <xdr:cNvPr id="2" name="Picture 1" descr="Image result for normal distribution">
          <a:extLst>
            <a:ext uri="{FF2B5EF4-FFF2-40B4-BE49-F238E27FC236}">
              <a16:creationId xmlns:a16="http://schemas.microsoft.com/office/drawing/2014/main" id="{EFA39657-F0C2-417A-8732-46692CF00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314575"/>
          <a:ext cx="6333937" cy="31489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vidend.com/" TargetMode="External"/><Relationship Id="rId3" Type="http://schemas.openxmlformats.org/officeDocument/2006/relationships/hyperlink" Target="http://www.euronext.com/" TargetMode="External"/><Relationship Id="rId7" Type="http://schemas.openxmlformats.org/officeDocument/2006/relationships/hyperlink" Target="http://nasdaq.com/" TargetMode="External"/><Relationship Id="rId2" Type="http://schemas.openxmlformats.org/officeDocument/2006/relationships/hyperlink" Target="http://www.nasdaqtrader.com/" TargetMode="External"/><Relationship Id="rId1" Type="http://schemas.openxmlformats.org/officeDocument/2006/relationships/hyperlink" Target="http://www.cboe.com/" TargetMode="External"/><Relationship Id="rId6" Type="http://schemas.openxmlformats.org/officeDocument/2006/relationships/hyperlink" Target="http://finance.yahoo.com/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boe.com/products/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nasdaq.com/options" TargetMode="External"/><Relationship Id="rId9" Type="http://schemas.openxmlformats.org/officeDocument/2006/relationships/hyperlink" Target="http://www.treasury.gov/resource-center/data-chart-center/interest-rates/Pages/TextView.aspx?data=yield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vidend.com/" TargetMode="External"/><Relationship Id="rId3" Type="http://schemas.openxmlformats.org/officeDocument/2006/relationships/hyperlink" Target="http://www.euronext.com/" TargetMode="External"/><Relationship Id="rId7" Type="http://schemas.openxmlformats.org/officeDocument/2006/relationships/hyperlink" Target="http://nasdaq.com/" TargetMode="External"/><Relationship Id="rId2" Type="http://schemas.openxmlformats.org/officeDocument/2006/relationships/hyperlink" Target="http://www.nasdaqtrader.com/" TargetMode="External"/><Relationship Id="rId1" Type="http://schemas.openxmlformats.org/officeDocument/2006/relationships/hyperlink" Target="http://www.cboe.com/" TargetMode="External"/><Relationship Id="rId6" Type="http://schemas.openxmlformats.org/officeDocument/2006/relationships/hyperlink" Target="http://finance.yahoo.com/" TargetMode="External"/><Relationship Id="rId11" Type="http://schemas.openxmlformats.org/officeDocument/2006/relationships/drawing" Target="../drawings/drawing2.xml"/><Relationship Id="rId5" Type="http://schemas.openxmlformats.org/officeDocument/2006/relationships/hyperlink" Target="http://www.cboe.com/products/" TargetMode="External"/><Relationship Id="rId10" Type="http://schemas.openxmlformats.org/officeDocument/2006/relationships/printerSettings" Target="../printerSettings/printerSettings2.bin"/><Relationship Id="rId4" Type="http://schemas.openxmlformats.org/officeDocument/2006/relationships/hyperlink" Target="http://nasdaq.com/options" TargetMode="External"/><Relationship Id="rId9" Type="http://schemas.openxmlformats.org/officeDocument/2006/relationships/hyperlink" Target="http://www.treasury.gov/resource-center/data-chart-center/interest-rates/Pages/TextView.aspx?data=yield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vidend.com/" TargetMode="External"/><Relationship Id="rId3" Type="http://schemas.openxmlformats.org/officeDocument/2006/relationships/hyperlink" Target="http://www.euronext.com/" TargetMode="External"/><Relationship Id="rId7" Type="http://schemas.openxmlformats.org/officeDocument/2006/relationships/hyperlink" Target="http://nasdaq.com/" TargetMode="External"/><Relationship Id="rId2" Type="http://schemas.openxmlformats.org/officeDocument/2006/relationships/hyperlink" Target="http://www.nasdaqtrader.com/" TargetMode="External"/><Relationship Id="rId1" Type="http://schemas.openxmlformats.org/officeDocument/2006/relationships/hyperlink" Target="http://www.cboe.com/" TargetMode="External"/><Relationship Id="rId6" Type="http://schemas.openxmlformats.org/officeDocument/2006/relationships/hyperlink" Target="http://finance.yahoo.com/" TargetMode="External"/><Relationship Id="rId11" Type="http://schemas.openxmlformats.org/officeDocument/2006/relationships/drawing" Target="../drawings/drawing3.xml"/><Relationship Id="rId5" Type="http://schemas.openxmlformats.org/officeDocument/2006/relationships/hyperlink" Target="http://www.cboe.com/products/" TargetMode="External"/><Relationship Id="rId10" Type="http://schemas.openxmlformats.org/officeDocument/2006/relationships/printerSettings" Target="../printerSettings/printerSettings3.bin"/><Relationship Id="rId4" Type="http://schemas.openxmlformats.org/officeDocument/2006/relationships/hyperlink" Target="http://nasdaq.com/options" TargetMode="External"/><Relationship Id="rId9" Type="http://schemas.openxmlformats.org/officeDocument/2006/relationships/hyperlink" Target="http://www.treasury.gov/resource-center/data-chart-center/interest-rates/Pages/TextView.aspx?data=yiel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theme="9" tint="0.39997558519241921"/>
  </sheetPr>
  <dimension ref="A1:AF41"/>
  <sheetViews>
    <sheetView tabSelected="1" zoomScaleNormal="100" workbookViewId="0">
      <selection sqref="A1:K1"/>
    </sheetView>
  </sheetViews>
  <sheetFormatPr defaultRowHeight="15" x14ac:dyDescent="0.25"/>
  <cols>
    <col min="1" max="1" width="1.7109375" style="37" customWidth="1"/>
    <col min="2" max="2" width="21.85546875" style="37" customWidth="1"/>
    <col min="3" max="3" width="16.7109375" style="37" bestFit="1" customWidth="1"/>
    <col min="4" max="4" width="2.140625" style="37" customWidth="1"/>
    <col min="5" max="5" width="8.5703125" style="37" customWidth="1"/>
    <col min="6" max="6" width="9.28515625" style="37" customWidth="1"/>
    <col min="7" max="7" width="8.5703125" style="37" customWidth="1"/>
    <col min="8" max="8" width="2" style="37" customWidth="1"/>
    <col min="9" max="9" width="16.7109375" style="37" customWidth="1"/>
    <col min="10" max="10" width="20.28515625" style="37" customWidth="1"/>
    <col min="11" max="11" width="19.140625" style="37" customWidth="1"/>
    <col min="12" max="12" width="1.85546875" style="37" customWidth="1"/>
    <col min="13" max="13" width="14.5703125" style="38" customWidth="1"/>
    <col min="14" max="14" width="14.5703125" style="38" hidden="1" customWidth="1"/>
    <col min="15" max="15" width="14.5703125" style="6" hidden="1" customWidth="1"/>
    <col min="16" max="16" width="9.140625" style="6" hidden="1" customWidth="1"/>
    <col min="17" max="17" width="12.140625" style="6" hidden="1" customWidth="1"/>
    <col min="18" max="22" width="9.140625" style="6" hidden="1" customWidth="1"/>
    <col min="23" max="23" width="0" style="6" hidden="1" customWidth="1"/>
    <col min="24" max="24" width="9.140625" style="6"/>
    <col min="25" max="25" width="11.42578125" style="38" customWidth="1"/>
    <col min="26" max="27" width="9.140625" style="38"/>
    <col min="28" max="28" width="16.140625" style="38" customWidth="1"/>
    <col min="29" max="32" width="12.5703125" style="38" bestFit="1" customWidth="1"/>
    <col min="33" max="16384" width="9.140625" style="38"/>
  </cols>
  <sheetData>
    <row r="1" spans="1:32" ht="27" customHeight="1" x14ac:dyDescent="0.25">
      <c r="A1" s="220" t="s">
        <v>38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"/>
      <c r="M1" s="3"/>
      <c r="N1" s="3"/>
      <c r="O1" s="4"/>
      <c r="P1" s="4"/>
      <c r="Q1" s="4"/>
      <c r="R1" s="4"/>
      <c r="S1" s="4"/>
      <c r="T1" s="4"/>
      <c r="U1" s="4"/>
      <c r="V1" s="4"/>
      <c r="W1" s="4"/>
      <c r="X1" s="5"/>
      <c r="Y1" s="198" t="s">
        <v>98</v>
      </c>
      <c r="Z1" s="198"/>
      <c r="AA1" s="198"/>
      <c r="AB1" s="198"/>
      <c r="AC1" s="198"/>
      <c r="AD1" s="198"/>
      <c r="AE1" s="198"/>
    </row>
    <row r="2" spans="1:32" x14ac:dyDescent="0.25">
      <c r="A2" s="221" t="s">
        <v>64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7"/>
      <c r="M2" s="8"/>
      <c r="N2" s="8"/>
      <c r="O2" s="9"/>
      <c r="P2" s="9"/>
      <c r="Q2" s="9"/>
      <c r="R2" s="9"/>
      <c r="S2" s="9"/>
      <c r="T2" s="9"/>
      <c r="U2" s="9"/>
      <c r="V2" s="9"/>
      <c r="W2" s="9"/>
      <c r="X2" s="5"/>
      <c r="Y2" s="198"/>
      <c r="Z2" s="198"/>
      <c r="AA2" s="198"/>
      <c r="AB2" s="198"/>
      <c r="AC2" s="198"/>
      <c r="AD2" s="198"/>
      <c r="AE2" s="198"/>
    </row>
    <row r="3" spans="1:32" ht="7.5" customHeight="1" x14ac:dyDescent="0.25">
      <c r="A3" s="10"/>
      <c r="B3" s="11"/>
      <c r="C3" s="11"/>
      <c r="D3" s="12"/>
      <c r="E3" s="12"/>
      <c r="F3" s="12"/>
      <c r="G3" s="12"/>
      <c r="H3" s="12"/>
      <c r="I3" s="10"/>
      <c r="J3" s="11"/>
      <c r="K3" s="11"/>
      <c r="L3" s="12"/>
      <c r="M3" s="13"/>
      <c r="N3" s="13"/>
      <c r="O3" s="14"/>
      <c r="P3" s="14"/>
      <c r="Q3" s="14"/>
      <c r="R3" s="14"/>
      <c r="S3" s="14"/>
      <c r="T3" s="14"/>
      <c r="U3" s="14"/>
      <c r="V3" s="14"/>
      <c r="W3" s="14"/>
      <c r="X3" s="5"/>
      <c r="Y3" s="199" t="s">
        <v>99</v>
      </c>
      <c r="Z3" s="200"/>
      <c r="AA3" s="200"/>
      <c r="AB3" s="201"/>
      <c r="AC3" s="205" t="s">
        <v>101</v>
      </c>
      <c r="AD3" s="206"/>
      <c r="AE3" s="207"/>
    </row>
    <row r="4" spans="1:32" ht="13.5" customHeight="1" x14ac:dyDescent="0.25">
      <c r="A4" s="10"/>
      <c r="B4" s="222" t="s">
        <v>39</v>
      </c>
      <c r="C4" s="223"/>
      <c r="D4" s="12"/>
      <c r="E4" s="226" t="s">
        <v>40</v>
      </c>
      <c r="F4" s="227"/>
      <c r="G4" s="228"/>
      <c r="H4" s="12"/>
      <c r="I4" s="232" t="s">
        <v>41</v>
      </c>
      <c r="J4" s="233"/>
      <c r="K4" s="234"/>
      <c r="L4" s="12"/>
      <c r="M4" s="13"/>
      <c r="N4" s="13"/>
      <c r="O4" s="14"/>
      <c r="P4" s="9"/>
      <c r="Q4" s="9"/>
      <c r="R4" s="9"/>
      <c r="S4" s="9"/>
      <c r="T4" s="9"/>
      <c r="U4" s="9"/>
      <c r="V4" s="9"/>
      <c r="W4" s="14"/>
      <c r="X4" s="5"/>
      <c r="Y4" s="202"/>
      <c r="Z4" s="203"/>
      <c r="AA4" s="203"/>
      <c r="AB4" s="204"/>
      <c r="AC4" s="208"/>
      <c r="AD4" s="209"/>
      <c r="AE4" s="210"/>
    </row>
    <row r="5" spans="1:32" x14ac:dyDescent="0.25">
      <c r="A5" s="10"/>
      <c r="B5" s="224"/>
      <c r="C5" s="225"/>
      <c r="D5" s="12"/>
      <c r="E5" s="229"/>
      <c r="F5" s="230"/>
      <c r="G5" s="231"/>
      <c r="H5" s="12"/>
      <c r="I5" s="235"/>
      <c r="J5" s="236"/>
      <c r="K5" s="237"/>
      <c r="L5" s="12"/>
      <c r="M5" s="13"/>
      <c r="N5" s="13"/>
      <c r="O5" s="14"/>
      <c r="P5" s="9"/>
      <c r="Q5" s="9"/>
      <c r="R5" s="9"/>
      <c r="S5" s="9"/>
      <c r="T5" s="9"/>
      <c r="U5" s="9"/>
      <c r="V5" s="9"/>
      <c r="W5" s="14"/>
      <c r="X5" s="5"/>
      <c r="Y5" s="131"/>
      <c r="Z5" s="138" t="s">
        <v>100</v>
      </c>
      <c r="AA5" s="139" t="s">
        <v>102</v>
      </c>
      <c r="AB5" s="132"/>
      <c r="AC5" s="132"/>
      <c r="AD5" s="139" t="s">
        <v>103</v>
      </c>
      <c r="AE5" s="133"/>
    </row>
    <row r="6" spans="1:32" ht="15" customHeight="1" x14ac:dyDescent="0.25">
      <c r="A6" s="10"/>
      <c r="B6" s="11"/>
      <c r="C6" s="11"/>
      <c r="D6" s="12"/>
      <c r="E6" s="12"/>
      <c r="F6" s="12"/>
      <c r="G6" s="12"/>
      <c r="H6" s="12"/>
      <c r="I6" s="12"/>
      <c r="J6" s="12"/>
      <c r="K6" s="12"/>
      <c r="L6" s="12"/>
      <c r="M6" s="13"/>
      <c r="N6" s="13"/>
      <c r="O6" s="14"/>
      <c r="P6" s="14"/>
      <c r="Q6" s="14"/>
      <c r="R6" s="14"/>
      <c r="S6" s="14"/>
      <c r="T6" s="14"/>
      <c r="U6" s="14"/>
      <c r="V6" s="14"/>
      <c r="W6" s="14"/>
      <c r="X6" s="5"/>
      <c r="Y6" s="134"/>
      <c r="Z6" s="135"/>
      <c r="AA6" s="136"/>
      <c r="AB6" s="136"/>
      <c r="AC6" s="136"/>
      <c r="AD6" s="136"/>
      <c r="AE6" s="137"/>
    </row>
    <row r="7" spans="1:32" ht="15" customHeight="1" thickBot="1" x14ac:dyDescent="0.3">
      <c r="A7" s="10"/>
      <c r="B7" s="127" t="s">
        <v>0</v>
      </c>
      <c r="C7" s="152"/>
      <c r="D7" s="10"/>
      <c r="E7" s="15"/>
      <c r="F7" s="16" t="s">
        <v>42</v>
      </c>
      <c r="G7" s="17" t="s">
        <v>43</v>
      </c>
      <c r="H7" s="10"/>
      <c r="I7" s="211" t="s">
        <v>76</v>
      </c>
      <c r="J7" s="212"/>
      <c r="K7" s="213"/>
      <c r="L7" s="12"/>
      <c r="M7" s="18"/>
      <c r="N7" s="18"/>
      <c r="O7" s="5"/>
      <c r="P7" s="19" t="s">
        <v>44</v>
      </c>
      <c r="Q7" s="19" t="s">
        <v>45</v>
      </c>
      <c r="R7" s="19" t="s">
        <v>46</v>
      </c>
      <c r="S7" s="5"/>
      <c r="T7" s="5"/>
      <c r="U7" s="5"/>
      <c r="V7" s="5"/>
      <c r="W7" s="5"/>
      <c r="X7" s="5"/>
    </row>
    <row r="8" spans="1:32" ht="15.75" thickBot="1" x14ac:dyDescent="0.3">
      <c r="A8" s="10"/>
      <c r="B8" s="128" t="s">
        <v>2</v>
      </c>
      <c r="C8" s="153"/>
      <c r="D8" s="21"/>
      <c r="E8" s="22" t="s">
        <v>47</v>
      </c>
      <c r="F8" s="23" t="e">
        <f ca="1">R10*R12</f>
        <v>#DIV/0!</v>
      </c>
      <c r="G8" s="24" t="e">
        <f ca="1">(R10-1)*R12</f>
        <v>#DIV/0!</v>
      </c>
      <c r="H8" s="10"/>
      <c r="I8" s="214"/>
      <c r="J8" s="215"/>
      <c r="K8" s="216"/>
      <c r="L8" s="10"/>
      <c r="M8" s="18"/>
      <c r="N8" s="18"/>
      <c r="O8" s="5"/>
      <c r="P8" s="5" t="e">
        <f>LN(C7/C8)</f>
        <v>#DIV/0!</v>
      </c>
      <c r="Q8" s="5">
        <f ca="1">(C10-C11+POWER(C9,2)/2)*C15</f>
        <v>-0.59847945205479469</v>
      </c>
      <c r="R8" s="5" t="e">
        <f ca="1">C9*SQRT(C15)</f>
        <v>#NUM!</v>
      </c>
      <c r="S8" s="5"/>
      <c r="T8" s="5"/>
      <c r="U8" s="5"/>
      <c r="V8" s="5"/>
      <c r="W8" s="5"/>
      <c r="X8" s="5"/>
      <c r="Y8" s="171" t="s">
        <v>112</v>
      </c>
      <c r="Z8" s="193">
        <f>C7</f>
        <v>0</v>
      </c>
    </row>
    <row r="9" spans="1:32" ht="15.75" thickBot="1" x14ac:dyDescent="0.3">
      <c r="A9" s="10"/>
      <c r="B9" s="128" t="s">
        <v>66</v>
      </c>
      <c r="C9" s="154">
        <v>0.1</v>
      </c>
      <c r="D9" s="25"/>
      <c r="E9" s="22" t="s">
        <v>48</v>
      </c>
      <c r="F9" s="23" t="e">
        <f ca="1">(-(C7*EXP(-1*POWER(P10,2)/2)/SQRT(2*PI())*C9*R12/
(2*SQRT(C15)))-(C10*Q12*T10)+(C11*C7*R10*R12))/
365</f>
        <v>#DIV/0!</v>
      </c>
      <c r="G9" s="24" t="e">
        <f ca="1">(-(C7*EXP(-1*POWER(P10,2)/2)/SQRT(2*PI())*C9*R12/
(2*SQRT(C15)))+(C10*Q12*U10)-(C11*C7*S10*R12))/
365</f>
        <v>#DIV/0!</v>
      </c>
      <c r="H9" s="10"/>
      <c r="I9" s="214"/>
      <c r="J9" s="215"/>
      <c r="K9" s="216"/>
      <c r="L9" s="10"/>
      <c r="M9" s="18"/>
      <c r="N9" s="18"/>
      <c r="O9" s="5"/>
      <c r="P9" s="19" t="s">
        <v>6</v>
      </c>
      <c r="Q9" s="19" t="s">
        <v>7</v>
      </c>
      <c r="R9" s="19" t="s">
        <v>49</v>
      </c>
      <c r="S9" s="26" t="s">
        <v>50</v>
      </c>
      <c r="T9" s="19" t="s">
        <v>51</v>
      </c>
      <c r="U9" s="19" t="s">
        <v>52</v>
      </c>
      <c r="V9" s="5"/>
      <c r="W9" s="5"/>
      <c r="X9" s="5"/>
    </row>
    <row r="10" spans="1:32" ht="15.75" thickBot="1" x14ac:dyDescent="0.3">
      <c r="A10" s="10"/>
      <c r="B10" s="128" t="s">
        <v>3</v>
      </c>
      <c r="C10" s="155"/>
      <c r="D10" s="10"/>
      <c r="E10" s="22" t="s">
        <v>53</v>
      </c>
      <c r="F10" s="23" t="e">
        <f ca="1">EXP(-1*POWER(P10,2)/2)/SQRT(2*PI())*R12/(C7*R8)</f>
        <v>#DIV/0!</v>
      </c>
      <c r="G10" s="24"/>
      <c r="H10" s="10"/>
      <c r="I10" s="214"/>
      <c r="J10" s="215"/>
      <c r="K10" s="216"/>
      <c r="L10" s="10"/>
      <c r="M10" s="18"/>
      <c r="N10" s="18"/>
      <c r="O10" s="5"/>
      <c r="P10" s="5" t="e">
        <f ca="1">(P8+Q8)/R8</f>
        <v>#DIV/0!</v>
      </c>
      <c r="Q10" s="5" t="e">
        <f ca="1">P10-R8</f>
        <v>#DIV/0!</v>
      </c>
      <c r="R10" s="5" t="e">
        <f ca="1">_xlfn.NORM.DIST(P10,0,1,TRUE)</f>
        <v>#DIV/0!</v>
      </c>
      <c r="S10" s="5" t="e">
        <f ca="1">_xlfn.NORM.DIST(-P10,0,1,TRUE)</f>
        <v>#DIV/0!</v>
      </c>
      <c r="T10" s="5" t="e">
        <f ca="1">_xlfn.NORM.DIST(Q10,0,1,TRUE)</f>
        <v>#DIV/0!</v>
      </c>
      <c r="U10" s="5" t="e">
        <f ca="1">_xlfn.NORM.DIST(-Q10,0,1,TRUE)</f>
        <v>#DIV/0!</v>
      </c>
      <c r="V10" s="5"/>
      <c r="W10" s="5"/>
      <c r="X10" s="5"/>
      <c r="Y10" s="172" t="s">
        <v>104</v>
      </c>
      <c r="Z10" s="173"/>
      <c r="AA10" s="173"/>
      <c r="AB10" s="173"/>
      <c r="AC10" s="238" t="s">
        <v>116</v>
      </c>
      <c r="AD10" s="239"/>
      <c r="AE10" s="247" t="s">
        <v>115</v>
      </c>
      <c r="AF10" s="239"/>
    </row>
    <row r="11" spans="1:32" ht="15.75" thickBot="1" x14ac:dyDescent="0.3">
      <c r="A11" s="10"/>
      <c r="B11" s="128" t="s">
        <v>8</v>
      </c>
      <c r="C11" s="155"/>
      <c r="D11" s="10"/>
      <c r="E11" s="22" t="s">
        <v>54</v>
      </c>
      <c r="F11" s="23" t="e">
        <f ca="1">EXP(-1*POWER(P10,2)/2)/SQRT(2*PI())*R12*C7*SQRT(C15)/100</f>
        <v>#DIV/0!</v>
      </c>
      <c r="G11" s="24"/>
      <c r="H11" s="10"/>
      <c r="I11" s="214"/>
      <c r="J11" s="215"/>
      <c r="K11" s="216"/>
      <c r="L11" s="10"/>
      <c r="M11" s="18"/>
      <c r="N11" s="18"/>
      <c r="O11" s="5"/>
      <c r="P11" s="19" t="s">
        <v>55</v>
      </c>
      <c r="Q11" s="19" t="s">
        <v>56</v>
      </c>
      <c r="R11" s="19" t="s">
        <v>57</v>
      </c>
      <c r="S11" s="19" t="s">
        <v>58</v>
      </c>
      <c r="T11" s="5"/>
      <c r="U11" s="5"/>
      <c r="V11" s="5"/>
      <c r="W11" s="5"/>
      <c r="X11" s="5"/>
      <c r="Y11" s="181" t="s">
        <v>111</v>
      </c>
      <c r="Z11" s="173"/>
      <c r="AA11" s="173"/>
      <c r="AB11" s="182" t="s">
        <v>110</v>
      </c>
      <c r="AC11" s="181" t="s">
        <v>113</v>
      </c>
      <c r="AD11" s="183" t="s">
        <v>114</v>
      </c>
      <c r="AE11" s="182" t="s">
        <v>113</v>
      </c>
      <c r="AF11" s="183" t="s">
        <v>114</v>
      </c>
    </row>
    <row r="12" spans="1:32" s="6" customFormat="1" x14ac:dyDescent="0.25">
      <c r="A12" s="10"/>
      <c r="B12" s="128" t="s">
        <v>1</v>
      </c>
      <c r="C12" s="156"/>
      <c r="D12" s="10"/>
      <c r="E12" s="22" t="s">
        <v>59</v>
      </c>
      <c r="F12" s="23" t="e">
        <f ca="1">C8*C15*P12*T10/100</f>
        <v>#DIV/0!</v>
      </c>
      <c r="G12" s="24" t="e">
        <f ca="1">-C8*C15*P12*U10/100</f>
        <v>#DIV/0!</v>
      </c>
      <c r="H12" s="10"/>
      <c r="I12" s="214"/>
      <c r="J12" s="215"/>
      <c r="K12" s="216"/>
      <c r="L12" s="10"/>
      <c r="M12" s="18"/>
      <c r="N12" s="18"/>
      <c r="O12" s="5"/>
      <c r="P12" s="5">
        <f ca="1">EXP(-C10*C15)</f>
        <v>1</v>
      </c>
      <c r="Q12" s="5">
        <f ca="1">C8*P12</f>
        <v>0</v>
      </c>
      <c r="R12" s="5">
        <f ca="1">EXP(-C11*C15)</f>
        <v>1</v>
      </c>
      <c r="S12" s="5">
        <f ca="1">C7*R12</f>
        <v>0</v>
      </c>
      <c r="T12" s="5"/>
      <c r="U12" s="5"/>
      <c r="V12" s="5"/>
      <c r="W12" s="5"/>
      <c r="X12" s="5"/>
      <c r="Y12" s="179" t="s">
        <v>105</v>
      </c>
      <c r="Z12" s="173"/>
      <c r="AA12" s="173"/>
      <c r="AB12" s="180">
        <f>C9</f>
        <v>0.1</v>
      </c>
      <c r="AC12" s="184">
        <f>$Z$8*(1-AB12)</f>
        <v>0</v>
      </c>
      <c r="AD12" s="185">
        <f>$Z$8*(1+AB12)</f>
        <v>0</v>
      </c>
      <c r="AE12" s="184">
        <f>$Z$8*(1-2*AB12)</f>
        <v>0</v>
      </c>
      <c r="AF12" s="185">
        <f>$Z$8*(1+2*AB12)</f>
        <v>0</v>
      </c>
    </row>
    <row r="13" spans="1:32" s="6" customFormat="1" x14ac:dyDescent="0.25">
      <c r="A13" s="10"/>
      <c r="B13" s="162" t="s">
        <v>5</v>
      </c>
      <c r="C13" s="157"/>
      <c r="D13" s="10"/>
      <c r="E13" s="22"/>
      <c r="F13" s="23"/>
      <c r="G13" s="24"/>
      <c r="H13" s="10"/>
      <c r="I13" s="214"/>
      <c r="J13" s="215"/>
      <c r="K13" s="216"/>
      <c r="L13" s="10"/>
      <c r="M13" s="18"/>
      <c r="N13" s="18"/>
      <c r="O13" s="5"/>
      <c r="P13" s="5"/>
      <c r="Q13" s="5"/>
      <c r="R13" s="5"/>
      <c r="S13" s="5"/>
      <c r="T13" s="5"/>
      <c r="U13" s="5"/>
      <c r="V13" s="5"/>
      <c r="W13" s="5"/>
      <c r="X13" s="5"/>
      <c r="Y13" s="174" t="s">
        <v>106</v>
      </c>
      <c r="Z13" s="5"/>
      <c r="AA13" s="5"/>
      <c r="AB13" s="175">
        <f>AB12*SQRT(1/12)</f>
        <v>2.8867513459481287E-2</v>
      </c>
      <c r="AC13" s="186">
        <f t="shared" ref="AC13:AC16" si="0">$Z$8*(1-AB13)</f>
        <v>0</v>
      </c>
      <c r="AD13" s="187">
        <f t="shared" ref="AD13:AD16" si="1">$Z$8*(1+AB13)</f>
        <v>0</v>
      </c>
      <c r="AE13" s="186">
        <f t="shared" ref="AE13:AE16" si="2">$Z$8*(1-2*AB13)</f>
        <v>0</v>
      </c>
      <c r="AF13" s="187">
        <f t="shared" ref="AF13:AF16" si="3">$Z$8*(1+2*AB13)</f>
        <v>0</v>
      </c>
    </row>
    <row r="14" spans="1:32" s="6" customFormat="1" x14ac:dyDescent="0.25">
      <c r="A14" s="10"/>
      <c r="B14" s="27" t="s">
        <v>60</v>
      </c>
      <c r="C14" s="158">
        <f ca="1">C12-TODAY()</f>
        <v>-43689</v>
      </c>
      <c r="D14" s="10"/>
      <c r="E14" s="28"/>
      <c r="F14" s="29"/>
      <c r="G14" s="30"/>
      <c r="H14" s="10"/>
      <c r="I14" s="214"/>
      <c r="J14" s="215"/>
      <c r="K14" s="216"/>
      <c r="L14" s="10"/>
      <c r="M14" s="18"/>
      <c r="N14" s="18"/>
      <c r="O14" s="5"/>
      <c r="P14" s="5"/>
      <c r="Q14" s="5"/>
      <c r="R14" s="5"/>
      <c r="S14" s="5"/>
      <c r="T14" s="5"/>
      <c r="U14" s="5"/>
      <c r="V14" s="5"/>
      <c r="W14" s="5"/>
      <c r="X14" s="5"/>
      <c r="Y14" s="174" t="s">
        <v>107</v>
      </c>
      <c r="Z14" s="5"/>
      <c r="AA14" s="5"/>
      <c r="AB14" s="175">
        <f>AB12*SQRT(1/52)</f>
        <v>1.3867504905630729E-2</v>
      </c>
      <c r="AC14" s="186">
        <f t="shared" si="0"/>
        <v>0</v>
      </c>
      <c r="AD14" s="187">
        <f t="shared" si="1"/>
        <v>0</v>
      </c>
      <c r="AE14" s="186">
        <f t="shared" si="2"/>
        <v>0</v>
      </c>
      <c r="AF14" s="187">
        <f t="shared" si="3"/>
        <v>0</v>
      </c>
    </row>
    <row r="15" spans="1:32" s="6" customFormat="1" x14ac:dyDescent="0.25">
      <c r="A15" s="10"/>
      <c r="B15" s="20" t="s">
        <v>4</v>
      </c>
      <c r="C15" s="159">
        <f ca="1">C14/365</f>
        <v>-119.69589041095891</v>
      </c>
      <c r="D15" s="10"/>
      <c r="E15" s="28"/>
      <c r="F15" s="29"/>
      <c r="G15" s="30"/>
      <c r="H15" s="10"/>
      <c r="I15" s="214"/>
      <c r="J15" s="215"/>
      <c r="K15" s="216"/>
      <c r="L15" s="10"/>
      <c r="M15" s="18"/>
      <c r="N15" s="18"/>
      <c r="O15" s="5"/>
      <c r="P15" s="5"/>
      <c r="Q15" s="5"/>
      <c r="R15" s="5"/>
      <c r="S15" s="5"/>
      <c r="T15" s="5"/>
      <c r="U15" s="5"/>
      <c r="V15" s="5"/>
      <c r="W15" s="5"/>
      <c r="X15" s="5"/>
      <c r="Y15" s="174" t="s">
        <v>108</v>
      </c>
      <c r="Z15" s="5"/>
      <c r="AA15" s="5"/>
      <c r="AB15" s="175">
        <f>AB12*SQRT(1/365)</f>
        <v>5.2342392259021372E-3</v>
      </c>
      <c r="AC15" s="186">
        <f t="shared" si="0"/>
        <v>0</v>
      </c>
      <c r="AD15" s="187">
        <f t="shared" si="1"/>
        <v>0</v>
      </c>
      <c r="AE15" s="186">
        <f t="shared" si="2"/>
        <v>0</v>
      </c>
      <c r="AF15" s="187">
        <f t="shared" si="3"/>
        <v>0</v>
      </c>
    </row>
    <row r="16" spans="1:32" s="6" customFormat="1" ht="15.75" thickBot="1" x14ac:dyDescent="0.3">
      <c r="A16" s="10"/>
      <c r="B16" s="55" t="s">
        <v>67</v>
      </c>
      <c r="C16" s="78" t="s">
        <v>42</v>
      </c>
      <c r="D16" s="10"/>
      <c r="E16" s="31"/>
      <c r="F16" s="32"/>
      <c r="G16" s="33"/>
      <c r="H16" s="10"/>
      <c r="I16" s="217"/>
      <c r="J16" s="218"/>
      <c r="K16" s="219"/>
      <c r="L16" s="10"/>
      <c r="M16" s="18"/>
      <c r="N16" s="18"/>
      <c r="O16" s="5"/>
      <c r="P16" s="5"/>
      <c r="Q16" s="5"/>
      <c r="R16" s="5"/>
      <c r="S16" s="5"/>
      <c r="T16" s="5"/>
      <c r="U16" s="5"/>
      <c r="V16" s="5"/>
      <c r="W16" s="5"/>
      <c r="X16" s="5"/>
      <c r="Y16" s="176" t="s">
        <v>109</v>
      </c>
      <c r="Z16" s="177"/>
      <c r="AA16" s="177"/>
      <c r="AB16" s="178" t="e">
        <f ca="1">AB12*SQRT(C14/365)</f>
        <v>#NUM!</v>
      </c>
      <c r="AC16" s="188" t="e">
        <f t="shared" ca="1" si="0"/>
        <v>#NUM!</v>
      </c>
      <c r="AD16" s="189" t="e">
        <f t="shared" ca="1" si="1"/>
        <v>#NUM!</v>
      </c>
      <c r="AE16" s="188" t="e">
        <f t="shared" ca="1" si="2"/>
        <v>#NUM!</v>
      </c>
      <c r="AF16" s="189" t="e">
        <f t="shared" ca="1" si="3"/>
        <v>#NUM!</v>
      </c>
    </row>
    <row r="17" spans="1:31" s="6" customFormat="1" x14ac:dyDescent="0.25">
      <c r="A17" s="10"/>
      <c r="B17" s="34" t="s">
        <v>65</v>
      </c>
      <c r="C17" s="58" t="e">
        <f ca="1">IF(C16="Call",(C13-B19)^2,(C13-C19)^2)</f>
        <v>#DIV/0!</v>
      </c>
      <c r="D17" s="10"/>
      <c r="E17" s="34"/>
      <c r="F17" s="34"/>
      <c r="G17" s="34"/>
      <c r="H17" s="10"/>
      <c r="I17" s="101"/>
      <c r="J17" s="101"/>
      <c r="K17" s="101"/>
      <c r="L17" s="10"/>
      <c r="M17" s="18"/>
      <c r="N17" s="18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31" s="6" customFormat="1" x14ac:dyDescent="0.25">
      <c r="A18" s="10"/>
      <c r="B18" s="163" t="s">
        <v>69</v>
      </c>
      <c r="C18" s="163" t="s">
        <v>70</v>
      </c>
      <c r="D18" s="10"/>
      <c r="E18" s="34"/>
      <c r="F18" s="34"/>
      <c r="G18" s="34"/>
      <c r="H18" s="10"/>
      <c r="I18" s="34"/>
      <c r="J18" s="34"/>
      <c r="K18" s="34"/>
      <c r="L18" s="10"/>
      <c r="M18" s="18"/>
      <c r="N18" s="18"/>
      <c r="O18" s="5"/>
      <c r="P18" s="5"/>
      <c r="Q18" s="5"/>
      <c r="R18" s="5"/>
      <c r="S18" s="5"/>
      <c r="T18" s="5"/>
      <c r="U18" s="5"/>
      <c r="V18" s="5"/>
      <c r="W18" s="5"/>
      <c r="X18" s="5"/>
      <c r="Y18"/>
    </row>
    <row r="19" spans="1:31" s="6" customFormat="1" x14ac:dyDescent="0.25">
      <c r="A19" s="10"/>
      <c r="B19" s="35" t="e">
        <f ca="1">S12*R10-Q12*T10</f>
        <v>#DIV/0!</v>
      </c>
      <c r="C19" s="35" t="e">
        <f ca="1">Q12*U10-S12*S10</f>
        <v>#DIV/0!</v>
      </c>
      <c r="D19" s="10"/>
      <c r="E19" s="34"/>
      <c r="F19" s="34"/>
      <c r="G19" s="34"/>
      <c r="H19" s="10"/>
      <c r="I19" s="34"/>
      <c r="J19" s="34"/>
      <c r="K19" s="34"/>
      <c r="L19" s="10"/>
      <c r="M19" s="18"/>
      <c r="N19" s="18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31" s="6" customFormat="1" ht="10.5" customHeight="1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8"/>
      <c r="N20" s="18"/>
      <c r="O20" s="5"/>
      <c r="P20" s="5"/>
      <c r="Q20" s="5"/>
      <c r="R20" s="5"/>
      <c r="S20" s="5"/>
      <c r="T20" s="5"/>
      <c r="U20" s="5"/>
      <c r="V20" s="5"/>
      <c r="W20" s="5"/>
      <c r="X20" s="5"/>
      <c r="Y20" s="169"/>
    </row>
    <row r="21" spans="1:31" s="6" customFormat="1" x14ac:dyDescent="0.25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18"/>
      <c r="N21" s="18"/>
      <c r="O21" s="5"/>
      <c r="P21" s="5"/>
      <c r="Q21" s="5"/>
      <c r="R21" s="5"/>
      <c r="S21" s="5"/>
      <c r="T21" s="5"/>
      <c r="U21" s="5"/>
      <c r="V21" s="5"/>
      <c r="W21" s="5"/>
      <c r="X21" s="5"/>
      <c r="Y21" s="169"/>
    </row>
    <row r="22" spans="1:31" s="6" customFormat="1" ht="10.5" customHeigh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8"/>
      <c r="N22" s="18"/>
      <c r="O22" s="5"/>
      <c r="P22" s="5"/>
      <c r="Q22" s="5"/>
      <c r="R22" s="5"/>
      <c r="S22" s="5"/>
      <c r="T22" s="5"/>
      <c r="U22" s="5"/>
      <c r="V22" s="5"/>
      <c r="W22" s="5"/>
      <c r="X22" s="5"/>
      <c r="Y22" s="170"/>
    </row>
    <row r="23" spans="1:31" s="6" customFormat="1" x14ac:dyDescent="0.25">
      <c r="A23" s="10"/>
      <c r="B23" s="240" t="s">
        <v>97</v>
      </c>
      <c r="C23" s="241"/>
      <c r="D23" s="241"/>
      <c r="E23" s="241"/>
      <c r="F23" s="241"/>
      <c r="G23" s="241"/>
      <c r="H23" s="241"/>
      <c r="I23" s="241"/>
      <c r="J23" s="241"/>
      <c r="K23" s="242"/>
      <c r="L23" s="10"/>
      <c r="M23" s="18"/>
      <c r="N23" s="18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31" s="6" customFormat="1" x14ac:dyDescent="0.25">
      <c r="A24" s="10"/>
      <c r="B24" s="243"/>
      <c r="C24" s="244"/>
      <c r="D24" s="244"/>
      <c r="E24" s="244"/>
      <c r="F24" s="244"/>
      <c r="G24" s="244"/>
      <c r="H24" s="244"/>
      <c r="I24" s="244"/>
      <c r="J24" s="244"/>
      <c r="K24" s="245"/>
      <c r="L24" s="10"/>
      <c r="M24" s="18"/>
      <c r="N24" s="18"/>
      <c r="O24" s="5"/>
      <c r="P24" s="5"/>
      <c r="Q24" s="5"/>
      <c r="R24" s="5"/>
      <c r="S24" s="5"/>
      <c r="T24" s="5"/>
      <c r="U24" s="5"/>
      <c r="V24" s="5"/>
      <c r="W24" s="5"/>
      <c r="X24" s="5"/>
      <c r="Y24" s="169"/>
    </row>
    <row r="25" spans="1:31" s="6" customFormat="1" ht="9" customHeight="1" x14ac:dyDescent="0.25">
      <c r="A25" s="10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0"/>
      <c r="M25" s="18"/>
      <c r="N25" s="18"/>
      <c r="O25" s="5"/>
      <c r="P25" s="5"/>
      <c r="Q25" s="5"/>
      <c r="R25" s="5"/>
      <c r="S25" s="5"/>
      <c r="T25" s="5"/>
      <c r="U25" s="5"/>
      <c r="V25" s="5"/>
      <c r="W25" s="5"/>
      <c r="X25" s="5"/>
      <c r="Y25" s="169"/>
    </row>
    <row r="26" spans="1:31" s="6" customFormat="1" x14ac:dyDescent="0.25">
      <c r="A26" s="10"/>
      <c r="B26" s="124" t="s">
        <v>89</v>
      </c>
      <c r="C26" s="125"/>
      <c r="D26" s="125"/>
      <c r="E26" s="125"/>
      <c r="F26" s="125"/>
      <c r="G26" s="125"/>
      <c r="H26" s="125"/>
      <c r="I26" s="125"/>
      <c r="J26" s="125"/>
      <c r="K26" s="126"/>
      <c r="L26" s="10"/>
      <c r="M26" s="18"/>
      <c r="N26" s="18"/>
      <c r="O26" s="5"/>
      <c r="P26" s="5"/>
      <c r="Q26" s="5"/>
      <c r="R26" s="5"/>
      <c r="S26" s="5"/>
      <c r="T26" s="5"/>
      <c r="U26" s="5"/>
      <c r="V26" s="5"/>
      <c r="W26" s="5"/>
      <c r="X26" s="5"/>
      <c r="Y26" s="169"/>
    </row>
    <row r="27" spans="1:31" s="6" customFormat="1" x14ac:dyDescent="0.25">
      <c r="A27" s="10"/>
      <c r="B27" s="114" t="s">
        <v>79</v>
      </c>
      <c r="C27" s="195" t="s">
        <v>80</v>
      </c>
      <c r="D27" s="195"/>
      <c r="E27" s="195"/>
      <c r="F27" s="195" t="s">
        <v>81</v>
      </c>
      <c r="G27" s="195"/>
      <c r="H27" s="195"/>
      <c r="I27" s="195"/>
      <c r="J27" s="195"/>
      <c r="K27" s="113"/>
      <c r="L27" s="10"/>
      <c r="M27" s="18"/>
      <c r="N27" s="18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31" s="6" customFormat="1" x14ac:dyDescent="0.25">
      <c r="A28" s="10"/>
      <c r="B28" s="115" t="s">
        <v>82</v>
      </c>
      <c r="C28" s="195" t="s">
        <v>83</v>
      </c>
      <c r="D28" s="195"/>
      <c r="E28" s="195"/>
      <c r="F28" s="195" t="s">
        <v>84</v>
      </c>
      <c r="G28" s="195"/>
      <c r="H28" s="195"/>
      <c r="I28" s="195"/>
      <c r="J28" s="195"/>
      <c r="K28" s="113"/>
      <c r="L28" s="10"/>
      <c r="M28" s="38"/>
      <c r="N28" s="38"/>
      <c r="P28" s="5"/>
      <c r="Q28" s="5"/>
      <c r="R28" s="5"/>
      <c r="S28" s="5"/>
      <c r="T28" s="5"/>
      <c r="U28" s="5"/>
      <c r="V28" s="5"/>
      <c r="W28" s="5"/>
      <c r="X28" s="5"/>
    </row>
    <row r="29" spans="1:31" x14ac:dyDescent="0.25">
      <c r="A29" s="10"/>
      <c r="B29" s="115" t="s">
        <v>85</v>
      </c>
      <c r="C29" s="195" t="s">
        <v>86</v>
      </c>
      <c r="D29" s="195"/>
      <c r="E29" s="195"/>
      <c r="F29" s="105"/>
      <c r="G29" s="103"/>
      <c r="H29" s="103"/>
      <c r="I29" s="103"/>
      <c r="J29" s="103"/>
      <c r="K29" s="113"/>
      <c r="L29" s="10"/>
      <c r="Y29" s="6"/>
      <c r="Z29" s="6"/>
      <c r="AA29" s="6"/>
      <c r="AB29" s="6"/>
      <c r="AC29" s="6"/>
      <c r="AD29" s="6"/>
      <c r="AE29" s="6"/>
    </row>
    <row r="30" spans="1:31" x14ac:dyDescent="0.25">
      <c r="A30" s="10"/>
      <c r="B30" s="115" t="s">
        <v>87</v>
      </c>
      <c r="C30" s="195" t="s">
        <v>88</v>
      </c>
      <c r="D30" s="195"/>
      <c r="E30" s="195"/>
      <c r="F30" s="105"/>
      <c r="G30" s="103"/>
      <c r="H30" s="103"/>
      <c r="I30" s="103"/>
      <c r="J30" s="103"/>
      <c r="K30" s="113"/>
      <c r="L30" s="10"/>
    </row>
    <row r="31" spans="1:31" x14ac:dyDescent="0.25">
      <c r="A31" s="10"/>
      <c r="B31" s="116"/>
      <c r="C31" s="103"/>
      <c r="D31" s="103"/>
      <c r="E31" s="103"/>
      <c r="F31" s="103"/>
      <c r="G31" s="103"/>
      <c r="H31" s="103"/>
      <c r="I31" s="103"/>
      <c r="J31" s="103"/>
      <c r="K31" s="113"/>
      <c r="L31" s="10"/>
    </row>
    <row r="32" spans="1:31" x14ac:dyDescent="0.25">
      <c r="A32" s="10"/>
      <c r="B32" s="102" t="s">
        <v>90</v>
      </c>
      <c r="C32" s="103"/>
      <c r="D32" s="103"/>
      <c r="E32" s="103"/>
      <c r="F32" s="103"/>
      <c r="G32" s="103"/>
      <c r="H32" s="103"/>
      <c r="I32" s="103"/>
      <c r="J32" s="103"/>
      <c r="K32" s="113"/>
      <c r="L32" s="10"/>
    </row>
    <row r="33" spans="1:13" ht="15" customHeight="1" x14ac:dyDescent="0.25">
      <c r="A33" s="10"/>
      <c r="B33" s="196" t="s">
        <v>91</v>
      </c>
      <c r="C33" s="197"/>
      <c r="D33" s="197"/>
      <c r="E33" s="197"/>
      <c r="F33" s="246" t="s">
        <v>92</v>
      </c>
      <c r="G33" s="246"/>
      <c r="H33" s="246"/>
      <c r="I33" s="246"/>
      <c r="J33" s="246"/>
      <c r="K33" s="110"/>
      <c r="L33" s="10"/>
    </row>
    <row r="34" spans="1:13" x14ac:dyDescent="0.25">
      <c r="A34" s="10"/>
      <c r="B34" s="196"/>
      <c r="C34" s="197"/>
      <c r="D34" s="197"/>
      <c r="E34" s="197"/>
      <c r="F34" s="246"/>
      <c r="G34" s="246"/>
      <c r="H34" s="246"/>
      <c r="I34" s="246"/>
      <c r="J34" s="246"/>
      <c r="K34" s="110"/>
      <c r="L34" s="123"/>
      <c r="M34" s="190"/>
    </row>
    <row r="35" spans="1:13" x14ac:dyDescent="0.25">
      <c r="A35" s="10"/>
      <c r="B35" s="117"/>
      <c r="C35" s="108"/>
      <c r="D35" s="108"/>
      <c r="E35" s="108"/>
      <c r="F35" s="108"/>
      <c r="G35" s="109"/>
      <c r="H35" s="109"/>
      <c r="I35" s="109"/>
      <c r="J35" s="108"/>
      <c r="K35" s="118"/>
      <c r="L35" s="123"/>
      <c r="M35" s="190"/>
    </row>
    <row r="36" spans="1:13" x14ac:dyDescent="0.25">
      <c r="A36" s="10"/>
      <c r="B36" s="102" t="s">
        <v>93</v>
      </c>
      <c r="C36" s="103"/>
      <c r="D36" s="103"/>
      <c r="E36" s="103"/>
      <c r="F36" s="103"/>
      <c r="G36" s="103"/>
      <c r="H36" s="103"/>
      <c r="I36" s="103"/>
      <c r="J36" s="108"/>
      <c r="K36" s="118"/>
      <c r="L36" s="123"/>
      <c r="M36" s="190"/>
    </row>
    <row r="37" spans="1:13" x14ac:dyDescent="0.25">
      <c r="A37" s="10"/>
      <c r="B37" s="102"/>
      <c r="C37" s="195" t="s">
        <v>94</v>
      </c>
      <c r="D37" s="195"/>
      <c r="E37" s="195"/>
      <c r="F37" s="103"/>
      <c r="G37" s="103"/>
      <c r="H37" s="103"/>
      <c r="I37" s="103"/>
      <c r="J37" s="103"/>
      <c r="K37" s="113"/>
      <c r="L37" s="10"/>
    </row>
    <row r="38" spans="1:13" x14ac:dyDescent="0.25">
      <c r="A38" s="10"/>
      <c r="B38" s="111"/>
      <c r="C38" s="195" t="s">
        <v>95</v>
      </c>
      <c r="D38" s="195"/>
      <c r="E38" s="195"/>
      <c r="F38" s="103"/>
      <c r="G38" s="103"/>
      <c r="H38" s="103"/>
      <c r="I38" s="103"/>
      <c r="J38" s="103"/>
      <c r="K38" s="113"/>
      <c r="L38" s="10"/>
    </row>
    <row r="39" spans="1:13" x14ac:dyDescent="0.25">
      <c r="A39" s="10"/>
      <c r="B39" s="116"/>
      <c r="C39" s="195" t="s">
        <v>96</v>
      </c>
      <c r="D39" s="195"/>
      <c r="E39" s="195"/>
      <c r="F39" s="103"/>
      <c r="G39" s="103"/>
      <c r="H39" s="103"/>
      <c r="I39" s="103"/>
      <c r="J39" s="103"/>
      <c r="K39" s="113"/>
      <c r="L39" s="10"/>
    </row>
    <row r="40" spans="1:13" x14ac:dyDescent="0.25">
      <c r="A40" s="10"/>
      <c r="B40" s="120"/>
      <c r="C40" s="121"/>
      <c r="D40" s="121"/>
      <c r="E40" s="121"/>
      <c r="F40" s="121"/>
      <c r="G40" s="121"/>
      <c r="H40" s="121"/>
      <c r="I40" s="121"/>
      <c r="J40" s="121"/>
      <c r="K40" s="122"/>
      <c r="L40" s="10"/>
    </row>
    <row r="41" spans="1:13" ht="12" customHeight="1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</row>
  </sheetData>
  <dataConsolidate/>
  <mergeCells count="23">
    <mergeCell ref="Y1:AE2"/>
    <mergeCell ref="Y3:AB4"/>
    <mergeCell ref="AC3:AE4"/>
    <mergeCell ref="C37:E37"/>
    <mergeCell ref="I7:K16"/>
    <mergeCell ref="A1:K1"/>
    <mergeCell ref="A2:K2"/>
    <mergeCell ref="B4:C5"/>
    <mergeCell ref="E4:G5"/>
    <mergeCell ref="I4:K5"/>
    <mergeCell ref="AC10:AD10"/>
    <mergeCell ref="B23:K24"/>
    <mergeCell ref="F33:J34"/>
    <mergeCell ref="F27:J27"/>
    <mergeCell ref="F28:J28"/>
    <mergeCell ref="AE10:AF10"/>
    <mergeCell ref="C39:E39"/>
    <mergeCell ref="C27:E27"/>
    <mergeCell ref="C28:E28"/>
    <mergeCell ref="C29:E29"/>
    <mergeCell ref="C30:E30"/>
    <mergeCell ref="B33:E34"/>
    <mergeCell ref="C38:E38"/>
  </mergeCells>
  <dataValidations count="1">
    <dataValidation type="list" allowBlank="1" showInputMessage="1" showErrorMessage="1" error="Please select &quot;Call&quot; or &quot;Put&quot; from the dropdown menu." sqref="C16" xr:uid="{00000000-0002-0000-0000-000000000000}">
      <formula1>"Call, Put"</formula1>
    </dataValidation>
  </dataValidations>
  <hyperlinks>
    <hyperlink ref="C27" r:id="rId1" xr:uid="{00000000-0004-0000-0000-000000000000}"/>
    <hyperlink ref="C28" r:id="rId2" xr:uid="{00000000-0004-0000-0000-000001000000}"/>
    <hyperlink ref="C29" r:id="rId3" xr:uid="{00000000-0004-0000-0000-000002000000}"/>
    <hyperlink ref="C30" r:id="rId4" xr:uid="{00000000-0004-0000-0000-000003000000}"/>
    <hyperlink ref="F27" r:id="rId5" xr:uid="{00000000-0004-0000-0000-000004000000}"/>
    <hyperlink ref="C37" r:id="rId6" xr:uid="{00000000-0004-0000-0000-000005000000}"/>
    <hyperlink ref="C38" r:id="rId7" xr:uid="{00000000-0004-0000-0000-000006000000}"/>
    <hyperlink ref="C39" r:id="rId8" xr:uid="{00000000-0004-0000-0000-000007000000}"/>
    <hyperlink ref="B33" r:id="rId9" xr:uid="{00000000-0004-0000-0000-000008000000}"/>
  </hyperlinks>
  <pageMargins left="0.7" right="0.7" top="0.75" bottom="0.75" header="0.3" footer="0.3"/>
  <pageSetup paperSize="9" orientation="portrait" horizontalDpi="0" verticalDpi="0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>
    <tabColor theme="9" tint="0.39997558519241921"/>
  </sheetPr>
  <dimension ref="A1:AK57"/>
  <sheetViews>
    <sheetView zoomScaleNormal="100" workbookViewId="0">
      <selection activeCell="AG16" sqref="AG16"/>
    </sheetView>
  </sheetViews>
  <sheetFormatPr defaultRowHeight="12.75" x14ac:dyDescent="0.2"/>
  <cols>
    <col min="1" max="1" width="2.140625" style="39" customWidth="1"/>
    <col min="2" max="2" width="24.28515625" style="39" customWidth="1"/>
    <col min="3" max="3" width="11.140625" style="39" customWidth="1"/>
    <col min="4" max="4" width="2.5703125" style="39" customWidth="1"/>
    <col min="5" max="5" width="9.140625" style="39"/>
    <col min="6" max="6" width="10.28515625" style="39" bestFit="1" customWidth="1"/>
    <col min="7" max="7" width="9.140625" style="39"/>
    <col min="8" max="8" width="2.5703125" style="39" customWidth="1"/>
    <col min="9" max="9" width="16.28515625" style="39" customWidth="1"/>
    <col min="10" max="10" width="10.140625" style="39" customWidth="1"/>
    <col min="11" max="11" width="17.85546875" style="39" customWidth="1"/>
    <col min="12" max="12" width="2.28515625" style="39" customWidth="1"/>
    <col min="13" max="13" width="9.140625" style="142"/>
    <col min="14" max="28" width="9.140625" style="142" hidden="1" customWidth="1"/>
    <col min="29" max="29" width="9.140625" style="142" customWidth="1"/>
    <col min="30" max="30" width="12.140625" style="140" customWidth="1"/>
    <col min="31" max="32" width="9.140625" style="140"/>
    <col min="33" max="33" width="16.5703125" style="140" bestFit="1" customWidth="1"/>
    <col min="34" max="37" width="12.5703125" style="140" bestFit="1" customWidth="1"/>
    <col min="38" max="249" width="9.140625" style="140"/>
    <col min="250" max="250" width="25.7109375" style="140" customWidth="1"/>
    <col min="251" max="505" width="9.140625" style="140"/>
    <col min="506" max="506" width="25.7109375" style="140" customWidth="1"/>
    <col min="507" max="761" width="9.140625" style="140"/>
    <col min="762" max="762" width="25.7109375" style="140" customWidth="1"/>
    <col min="763" max="1017" width="9.140625" style="140"/>
    <col min="1018" max="1018" width="25.7109375" style="140" customWidth="1"/>
    <col min="1019" max="1273" width="9.140625" style="140"/>
    <col min="1274" max="1274" width="25.7109375" style="140" customWidth="1"/>
    <col min="1275" max="1529" width="9.140625" style="140"/>
    <col min="1530" max="1530" width="25.7109375" style="140" customWidth="1"/>
    <col min="1531" max="1785" width="9.140625" style="140"/>
    <col min="1786" max="1786" width="25.7109375" style="140" customWidth="1"/>
    <col min="1787" max="2041" width="9.140625" style="140"/>
    <col min="2042" max="2042" width="25.7109375" style="140" customWidth="1"/>
    <col min="2043" max="2297" width="9.140625" style="140"/>
    <col min="2298" max="2298" width="25.7109375" style="140" customWidth="1"/>
    <col min="2299" max="2553" width="9.140625" style="140"/>
    <col min="2554" max="2554" width="25.7109375" style="140" customWidth="1"/>
    <col min="2555" max="2809" width="9.140625" style="140"/>
    <col min="2810" max="2810" width="25.7109375" style="140" customWidth="1"/>
    <col min="2811" max="3065" width="9.140625" style="140"/>
    <col min="3066" max="3066" width="25.7109375" style="140" customWidth="1"/>
    <col min="3067" max="3321" width="9.140625" style="140"/>
    <col min="3322" max="3322" width="25.7109375" style="140" customWidth="1"/>
    <col min="3323" max="3577" width="9.140625" style="140"/>
    <col min="3578" max="3578" width="25.7109375" style="140" customWidth="1"/>
    <col min="3579" max="3833" width="9.140625" style="140"/>
    <col min="3834" max="3834" width="25.7109375" style="140" customWidth="1"/>
    <col min="3835" max="4089" width="9.140625" style="140"/>
    <col min="4090" max="4090" width="25.7109375" style="140" customWidth="1"/>
    <col min="4091" max="4345" width="9.140625" style="140"/>
    <col min="4346" max="4346" width="25.7109375" style="140" customWidth="1"/>
    <col min="4347" max="4601" width="9.140625" style="140"/>
    <col min="4602" max="4602" width="25.7109375" style="140" customWidth="1"/>
    <col min="4603" max="4857" width="9.140625" style="140"/>
    <col min="4858" max="4858" width="25.7109375" style="140" customWidth="1"/>
    <col min="4859" max="5113" width="9.140625" style="140"/>
    <col min="5114" max="5114" width="25.7109375" style="140" customWidth="1"/>
    <col min="5115" max="5369" width="9.140625" style="140"/>
    <col min="5370" max="5370" width="25.7109375" style="140" customWidth="1"/>
    <col min="5371" max="5625" width="9.140625" style="140"/>
    <col min="5626" max="5626" width="25.7109375" style="140" customWidth="1"/>
    <col min="5627" max="5881" width="9.140625" style="140"/>
    <col min="5882" max="5882" width="25.7109375" style="140" customWidth="1"/>
    <col min="5883" max="6137" width="9.140625" style="140"/>
    <col min="6138" max="6138" width="25.7109375" style="140" customWidth="1"/>
    <col min="6139" max="6393" width="9.140625" style="140"/>
    <col min="6394" max="6394" width="25.7109375" style="140" customWidth="1"/>
    <col min="6395" max="6649" width="9.140625" style="140"/>
    <col min="6650" max="6650" width="25.7109375" style="140" customWidth="1"/>
    <col min="6651" max="6905" width="9.140625" style="140"/>
    <col min="6906" max="6906" width="25.7109375" style="140" customWidth="1"/>
    <col min="6907" max="7161" width="9.140625" style="140"/>
    <col min="7162" max="7162" width="25.7109375" style="140" customWidth="1"/>
    <col min="7163" max="7417" width="9.140625" style="140"/>
    <col min="7418" max="7418" width="25.7109375" style="140" customWidth="1"/>
    <col min="7419" max="7673" width="9.140625" style="140"/>
    <col min="7674" max="7674" width="25.7109375" style="140" customWidth="1"/>
    <col min="7675" max="7929" width="9.140625" style="140"/>
    <col min="7930" max="7930" width="25.7109375" style="140" customWidth="1"/>
    <col min="7931" max="8185" width="9.140625" style="140"/>
    <col min="8186" max="8186" width="25.7109375" style="140" customWidth="1"/>
    <col min="8187" max="8441" width="9.140625" style="140"/>
    <col min="8442" max="8442" width="25.7109375" style="140" customWidth="1"/>
    <col min="8443" max="8697" width="9.140625" style="140"/>
    <col min="8698" max="8698" width="25.7109375" style="140" customWidth="1"/>
    <col min="8699" max="8953" width="9.140625" style="140"/>
    <col min="8954" max="8954" width="25.7109375" style="140" customWidth="1"/>
    <col min="8955" max="9209" width="9.140625" style="140"/>
    <col min="9210" max="9210" width="25.7109375" style="140" customWidth="1"/>
    <col min="9211" max="9465" width="9.140625" style="140"/>
    <col min="9466" max="9466" width="25.7109375" style="140" customWidth="1"/>
    <col min="9467" max="9721" width="9.140625" style="140"/>
    <col min="9722" max="9722" width="25.7109375" style="140" customWidth="1"/>
    <col min="9723" max="9977" width="9.140625" style="140"/>
    <col min="9978" max="9978" width="25.7109375" style="140" customWidth="1"/>
    <col min="9979" max="10233" width="9.140625" style="140"/>
    <col min="10234" max="10234" width="25.7109375" style="140" customWidth="1"/>
    <col min="10235" max="10489" width="9.140625" style="140"/>
    <col min="10490" max="10490" width="25.7109375" style="140" customWidth="1"/>
    <col min="10491" max="10745" width="9.140625" style="140"/>
    <col min="10746" max="10746" width="25.7109375" style="140" customWidth="1"/>
    <col min="10747" max="11001" width="9.140625" style="140"/>
    <col min="11002" max="11002" width="25.7109375" style="140" customWidth="1"/>
    <col min="11003" max="11257" width="9.140625" style="140"/>
    <col min="11258" max="11258" width="25.7109375" style="140" customWidth="1"/>
    <col min="11259" max="11513" width="9.140625" style="140"/>
    <col min="11514" max="11514" width="25.7109375" style="140" customWidth="1"/>
    <col min="11515" max="11769" width="9.140625" style="140"/>
    <col min="11770" max="11770" width="25.7109375" style="140" customWidth="1"/>
    <col min="11771" max="12025" width="9.140625" style="140"/>
    <col min="12026" max="12026" width="25.7109375" style="140" customWidth="1"/>
    <col min="12027" max="12281" width="9.140625" style="140"/>
    <col min="12282" max="12282" width="25.7109375" style="140" customWidth="1"/>
    <col min="12283" max="12537" width="9.140625" style="140"/>
    <col min="12538" max="12538" width="25.7109375" style="140" customWidth="1"/>
    <col min="12539" max="12793" width="9.140625" style="140"/>
    <col min="12794" max="12794" width="25.7109375" style="140" customWidth="1"/>
    <col min="12795" max="13049" width="9.140625" style="140"/>
    <col min="13050" max="13050" width="25.7109375" style="140" customWidth="1"/>
    <col min="13051" max="13305" width="9.140625" style="140"/>
    <col min="13306" max="13306" width="25.7109375" style="140" customWidth="1"/>
    <col min="13307" max="13561" width="9.140625" style="140"/>
    <col min="13562" max="13562" width="25.7109375" style="140" customWidth="1"/>
    <col min="13563" max="13817" width="9.140625" style="140"/>
    <col min="13818" max="13818" width="25.7109375" style="140" customWidth="1"/>
    <col min="13819" max="14073" width="9.140625" style="140"/>
    <col min="14074" max="14074" width="25.7109375" style="140" customWidth="1"/>
    <col min="14075" max="14329" width="9.140625" style="140"/>
    <col min="14330" max="14330" width="25.7109375" style="140" customWidth="1"/>
    <col min="14331" max="14585" width="9.140625" style="140"/>
    <col min="14586" max="14586" width="25.7109375" style="140" customWidth="1"/>
    <col min="14587" max="14841" width="9.140625" style="140"/>
    <col min="14842" max="14842" width="25.7109375" style="140" customWidth="1"/>
    <col min="14843" max="15097" width="9.140625" style="140"/>
    <col min="15098" max="15098" width="25.7109375" style="140" customWidth="1"/>
    <col min="15099" max="15353" width="9.140625" style="140"/>
    <col min="15354" max="15354" width="25.7109375" style="140" customWidth="1"/>
    <col min="15355" max="15609" width="9.140625" style="140"/>
    <col min="15610" max="15610" width="25.7109375" style="140" customWidth="1"/>
    <col min="15611" max="15865" width="9.140625" style="140"/>
    <col min="15866" max="15866" width="25.7109375" style="140" customWidth="1"/>
    <col min="15867" max="16121" width="9.140625" style="140"/>
    <col min="16122" max="16122" width="25.7109375" style="140" customWidth="1"/>
    <col min="16123" max="16384" width="9.140625" style="140"/>
  </cols>
  <sheetData>
    <row r="1" spans="1:37" ht="15.75" x14ac:dyDescent="0.2">
      <c r="A1" s="220" t="s">
        <v>38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"/>
    </row>
    <row r="2" spans="1:37" ht="15" x14ac:dyDescent="0.25">
      <c r="A2" s="221" t="s">
        <v>74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7"/>
    </row>
    <row r="3" spans="1:37" ht="11.25" customHeight="1" x14ac:dyDescent="0.25">
      <c r="A3" s="10"/>
      <c r="B3" s="11"/>
      <c r="C3" s="11"/>
      <c r="D3" s="12"/>
      <c r="E3" s="12"/>
      <c r="F3" s="12"/>
      <c r="G3" s="12"/>
      <c r="H3" s="12"/>
      <c r="I3" s="10"/>
      <c r="J3" s="11"/>
      <c r="K3" s="11"/>
      <c r="L3" s="12"/>
    </row>
    <row r="4" spans="1:37" ht="15" x14ac:dyDescent="0.25">
      <c r="A4" s="10"/>
      <c r="B4" s="222" t="s">
        <v>39</v>
      </c>
      <c r="C4" s="223"/>
      <c r="D4" s="12"/>
      <c r="E4" s="226" t="s">
        <v>40</v>
      </c>
      <c r="F4" s="227"/>
      <c r="G4" s="228"/>
      <c r="H4" s="12"/>
      <c r="I4" s="232" t="s">
        <v>41</v>
      </c>
      <c r="J4" s="233"/>
      <c r="K4" s="234"/>
      <c r="L4" s="12"/>
    </row>
    <row r="5" spans="1:37" ht="15" x14ac:dyDescent="0.25">
      <c r="A5" s="10"/>
      <c r="B5" s="224"/>
      <c r="C5" s="225"/>
      <c r="D5" s="12"/>
      <c r="E5" s="229"/>
      <c r="F5" s="230"/>
      <c r="G5" s="231"/>
      <c r="H5" s="12"/>
      <c r="I5" s="235"/>
      <c r="J5" s="236"/>
      <c r="K5" s="237"/>
      <c r="L5" s="12"/>
    </row>
    <row r="6" spans="1:37" ht="9.75" customHeight="1" thickBot="1" x14ac:dyDescent="0.3">
      <c r="A6" s="10"/>
      <c r="B6" s="11"/>
      <c r="C6" s="11"/>
      <c r="D6" s="12"/>
      <c r="E6" s="12"/>
      <c r="F6" s="12"/>
      <c r="G6" s="12"/>
      <c r="H6" s="12"/>
      <c r="I6" s="12"/>
      <c r="J6" s="12"/>
      <c r="K6" s="12"/>
      <c r="L6" s="12"/>
    </row>
    <row r="7" spans="1:37" ht="15" customHeight="1" thickBot="1" x14ac:dyDescent="0.3">
      <c r="A7" s="40"/>
      <c r="B7" s="41" t="s">
        <v>9</v>
      </c>
      <c r="C7" s="56">
        <v>-1</v>
      </c>
      <c r="D7" s="40"/>
      <c r="E7" s="15"/>
      <c r="F7" s="16"/>
      <c r="G7" s="17"/>
      <c r="H7" s="40"/>
      <c r="I7" s="248" t="s">
        <v>77</v>
      </c>
      <c r="J7" s="249"/>
      <c r="K7" s="250"/>
      <c r="L7" s="40"/>
      <c r="Q7" s="142" t="s">
        <v>10</v>
      </c>
      <c r="R7" s="143">
        <f ca="1">T/n</f>
        <v>-13.299543378995434</v>
      </c>
      <c r="AD7" s="171" t="s">
        <v>112</v>
      </c>
      <c r="AE7" s="194">
        <f>C8</f>
        <v>0</v>
      </c>
      <c r="AF7" s="38"/>
      <c r="AG7" s="38"/>
      <c r="AH7" s="38"/>
      <c r="AI7" s="38"/>
      <c r="AJ7" s="38"/>
      <c r="AK7" s="38"/>
    </row>
    <row r="8" spans="1:37" ht="15.75" thickBot="1" x14ac:dyDescent="0.3">
      <c r="A8" s="40"/>
      <c r="B8" s="129" t="s">
        <v>37</v>
      </c>
      <c r="C8" s="100"/>
      <c r="D8" s="40"/>
      <c r="E8" s="22" t="s">
        <v>47</v>
      </c>
      <c r="F8" s="23" t="e">
        <f ca="1">(S37-S38)/(S26-S27)</f>
        <v>#NUM!</v>
      </c>
      <c r="G8" s="24"/>
      <c r="H8" s="40"/>
      <c r="I8" s="251"/>
      <c r="J8" s="252"/>
      <c r="K8" s="253"/>
      <c r="L8" s="40"/>
      <c r="Q8" s="142" t="s">
        <v>11</v>
      </c>
      <c r="R8" s="143" t="e">
        <f ca="1">EXP($C$10*SQRT(dt))</f>
        <v>#NUM!</v>
      </c>
      <c r="S8" s="142" t="s">
        <v>29</v>
      </c>
      <c r="AD8" s="38"/>
      <c r="AE8" s="38"/>
      <c r="AF8" s="38"/>
      <c r="AG8" s="38"/>
      <c r="AH8" s="38"/>
      <c r="AI8" s="38"/>
      <c r="AJ8" s="38"/>
      <c r="AK8" s="38"/>
    </row>
    <row r="9" spans="1:37" ht="15.75" thickBot="1" x14ac:dyDescent="0.3">
      <c r="A9" s="40"/>
      <c r="B9" s="129" t="s">
        <v>36</v>
      </c>
      <c r="C9" s="100"/>
      <c r="D9" s="40"/>
      <c r="E9" s="22" t="s">
        <v>48</v>
      </c>
      <c r="F9" s="23" t="e">
        <f ca="1">(T38-R37)/((2*S24)*365)</f>
        <v>#NUM!</v>
      </c>
      <c r="G9" s="24"/>
      <c r="H9" s="40"/>
      <c r="I9" s="251"/>
      <c r="J9" s="252"/>
      <c r="K9" s="253"/>
      <c r="L9" s="40"/>
      <c r="N9" s="168"/>
      <c r="Q9" s="142" t="s">
        <v>13</v>
      </c>
      <c r="R9" s="143" t="e">
        <f ca="1">1/R8</f>
        <v>#NUM!</v>
      </c>
      <c r="S9" s="142" t="s">
        <v>30</v>
      </c>
      <c r="AD9" s="172" t="s">
        <v>104</v>
      </c>
      <c r="AE9" s="173"/>
      <c r="AF9" s="173"/>
      <c r="AG9" s="173"/>
      <c r="AH9" s="238" t="s">
        <v>116</v>
      </c>
      <c r="AI9" s="239"/>
      <c r="AJ9" s="247" t="s">
        <v>115</v>
      </c>
      <c r="AK9" s="239"/>
    </row>
    <row r="10" spans="1:37" ht="15.75" thickBot="1" x14ac:dyDescent="0.3">
      <c r="A10" s="40"/>
      <c r="B10" s="129" t="s">
        <v>18</v>
      </c>
      <c r="C10" s="94">
        <v>0.1</v>
      </c>
      <c r="D10" s="40"/>
      <c r="E10" s="22" t="s">
        <v>53</v>
      </c>
      <c r="F10" s="23" t="e">
        <f ca="1">(((T37-T38)/(T26-T27))-((T38-T39)/(T27-T28)))/(0.5*(T26-T28))</f>
        <v>#NUM!</v>
      </c>
      <c r="G10" s="24"/>
      <c r="H10" s="40"/>
      <c r="I10" s="251"/>
      <c r="J10" s="252"/>
      <c r="K10" s="253"/>
      <c r="L10" s="40"/>
      <c r="N10" s="167"/>
      <c r="Q10" s="142" t="s">
        <v>16</v>
      </c>
      <c r="R10" s="143" t="e">
        <f ca="1">(EXP((rr-C12)*dt)-d)/(u-d)</f>
        <v>#NUM!</v>
      </c>
      <c r="S10" s="142" t="s">
        <v>31</v>
      </c>
      <c r="AD10" s="181" t="s">
        <v>111</v>
      </c>
      <c r="AE10" s="173"/>
      <c r="AF10" s="173"/>
      <c r="AG10" s="182" t="s">
        <v>110</v>
      </c>
      <c r="AH10" s="181" t="s">
        <v>113</v>
      </c>
      <c r="AI10" s="183" t="s">
        <v>114</v>
      </c>
      <c r="AJ10" s="182" t="s">
        <v>113</v>
      </c>
      <c r="AK10" s="183" t="s">
        <v>114</v>
      </c>
    </row>
    <row r="11" spans="1:37" ht="15" x14ac:dyDescent="0.25">
      <c r="A11" s="40"/>
      <c r="B11" s="129" t="s">
        <v>15</v>
      </c>
      <c r="C11" s="57"/>
      <c r="D11" s="40"/>
      <c r="E11" s="22"/>
      <c r="F11" s="23"/>
      <c r="G11" s="24"/>
      <c r="H11" s="40"/>
      <c r="I11" s="251"/>
      <c r="J11" s="252"/>
      <c r="K11" s="253"/>
      <c r="L11" s="40"/>
      <c r="Q11" s="142" t="s">
        <v>19</v>
      </c>
      <c r="R11" s="143">
        <f ca="1">EXP(-rr*dt)</f>
        <v>1</v>
      </c>
      <c r="S11" s="142" t="s">
        <v>33</v>
      </c>
      <c r="AD11" s="179" t="s">
        <v>105</v>
      </c>
      <c r="AE11" s="173"/>
      <c r="AF11" s="173"/>
      <c r="AG11" s="180">
        <f>C10</f>
        <v>0.1</v>
      </c>
      <c r="AH11" s="184">
        <f>$AE$7*(1-AG11)</f>
        <v>0</v>
      </c>
      <c r="AI11" s="185">
        <f>$AE$7*(1+AG11)</f>
        <v>0</v>
      </c>
      <c r="AJ11" s="184">
        <f>$AE$7*(1-2*AG11)</f>
        <v>0</v>
      </c>
      <c r="AK11" s="185">
        <f>$AE$7*(1+2*AG11)</f>
        <v>0</v>
      </c>
    </row>
    <row r="12" spans="1:37" ht="15" x14ac:dyDescent="0.25">
      <c r="A12" s="40"/>
      <c r="B12" s="129" t="s">
        <v>32</v>
      </c>
      <c r="C12" s="57"/>
      <c r="D12" s="40"/>
      <c r="E12" s="22"/>
      <c r="F12" s="23"/>
      <c r="G12" s="24"/>
      <c r="H12" s="40"/>
      <c r="I12" s="251"/>
      <c r="J12" s="252"/>
      <c r="K12" s="253"/>
      <c r="L12" s="40"/>
      <c r="AD12" s="174" t="s">
        <v>106</v>
      </c>
      <c r="AE12" s="5"/>
      <c r="AF12" s="5"/>
      <c r="AG12" s="175">
        <f>AG11*SQRT(1/12)</f>
        <v>2.8867513459481287E-2</v>
      </c>
      <c r="AH12" s="186">
        <f t="shared" ref="AH12:AH15" si="0">$AE$7*(1-AG12)</f>
        <v>0</v>
      </c>
      <c r="AI12" s="187">
        <f t="shared" ref="AI12:AI15" si="1">$AE$7*(1+AG12)</f>
        <v>0</v>
      </c>
      <c r="AJ12" s="186">
        <f t="shared" ref="AJ12:AJ15" si="2">$AE$7*(1-2*AG12)</f>
        <v>0</v>
      </c>
      <c r="AK12" s="187">
        <f t="shared" ref="AK12:AK15" si="3">$AE$7*(1+2*AG12)</f>
        <v>0</v>
      </c>
    </row>
    <row r="13" spans="1:37" s="142" customFormat="1" ht="15" x14ac:dyDescent="0.25">
      <c r="A13" s="40"/>
      <c r="B13" s="129" t="s">
        <v>61</v>
      </c>
      <c r="C13" s="166"/>
      <c r="D13" s="40"/>
      <c r="E13" s="43"/>
      <c r="F13" s="44"/>
      <c r="G13" s="45"/>
      <c r="H13" s="40"/>
      <c r="I13" s="251"/>
      <c r="J13" s="252"/>
      <c r="K13" s="253"/>
      <c r="L13" s="40"/>
      <c r="AD13" s="174" t="s">
        <v>107</v>
      </c>
      <c r="AE13" s="5"/>
      <c r="AF13" s="5"/>
      <c r="AG13" s="175">
        <f>AG11*SQRT(1/52)</f>
        <v>1.3867504905630729E-2</v>
      </c>
      <c r="AH13" s="186">
        <f t="shared" si="0"/>
        <v>0</v>
      </c>
      <c r="AI13" s="187">
        <f t="shared" si="1"/>
        <v>0</v>
      </c>
      <c r="AJ13" s="186">
        <f t="shared" si="2"/>
        <v>0</v>
      </c>
      <c r="AK13" s="187">
        <f t="shared" si="3"/>
        <v>0</v>
      </c>
    </row>
    <row r="14" spans="1:37" s="142" customFormat="1" ht="15" x14ac:dyDescent="0.25">
      <c r="A14" s="40"/>
      <c r="B14" s="160" t="s">
        <v>5</v>
      </c>
      <c r="C14" s="59"/>
      <c r="D14" s="40"/>
      <c r="E14" s="43"/>
      <c r="F14" s="44"/>
      <c r="G14" s="45"/>
      <c r="H14" s="40"/>
      <c r="I14" s="251"/>
      <c r="J14" s="252"/>
      <c r="K14" s="253"/>
      <c r="L14" s="40"/>
      <c r="AD14" s="174" t="s">
        <v>108</v>
      </c>
      <c r="AE14" s="5"/>
      <c r="AF14" s="5"/>
      <c r="AG14" s="175">
        <f>AG11*SQRT(1/365)</f>
        <v>5.2342392259021372E-3</v>
      </c>
      <c r="AH14" s="186">
        <f t="shared" si="0"/>
        <v>0</v>
      </c>
      <c r="AI14" s="187">
        <f t="shared" si="1"/>
        <v>0</v>
      </c>
      <c r="AJ14" s="186">
        <f t="shared" si="2"/>
        <v>0</v>
      </c>
      <c r="AK14" s="187">
        <f t="shared" si="3"/>
        <v>0</v>
      </c>
    </row>
    <row r="15" spans="1:37" s="142" customFormat="1" ht="15.75" thickBot="1" x14ac:dyDescent="0.3">
      <c r="A15" s="40"/>
      <c r="B15" s="42" t="s">
        <v>62</v>
      </c>
      <c r="C15" s="46">
        <f ca="1">C13-TODAY()</f>
        <v>-43689</v>
      </c>
      <c r="D15" s="40"/>
      <c r="E15" s="43"/>
      <c r="F15" s="44"/>
      <c r="G15" s="45"/>
      <c r="H15" s="40"/>
      <c r="I15" s="251"/>
      <c r="J15" s="252"/>
      <c r="K15" s="253"/>
      <c r="L15" s="40"/>
      <c r="AD15" s="176" t="s">
        <v>109</v>
      </c>
      <c r="AE15" s="177"/>
      <c r="AF15" s="177"/>
      <c r="AG15" s="178" t="e">
        <f ca="1">AG11*SQRT(C15/365)</f>
        <v>#NUM!</v>
      </c>
      <c r="AH15" s="188" t="e">
        <f t="shared" ca="1" si="0"/>
        <v>#NUM!</v>
      </c>
      <c r="AI15" s="189" t="e">
        <f t="shared" ca="1" si="1"/>
        <v>#NUM!</v>
      </c>
      <c r="AJ15" s="188" t="e">
        <f t="shared" ca="1" si="2"/>
        <v>#NUM!</v>
      </c>
      <c r="AK15" s="189" t="e">
        <f t="shared" ca="1" si="3"/>
        <v>#NUM!</v>
      </c>
    </row>
    <row r="16" spans="1:37" s="142" customFormat="1" x14ac:dyDescent="0.2">
      <c r="A16" s="40"/>
      <c r="B16" s="42" t="s">
        <v>63</v>
      </c>
      <c r="C16" s="46">
        <f ca="1">C15/365</f>
        <v>-119.69589041095891</v>
      </c>
      <c r="D16" s="40"/>
      <c r="E16" s="43"/>
      <c r="F16" s="44"/>
      <c r="G16" s="45"/>
      <c r="H16" s="40"/>
      <c r="I16" s="251"/>
      <c r="J16" s="252"/>
      <c r="K16" s="253"/>
      <c r="L16" s="40"/>
    </row>
    <row r="17" spans="1:27" s="142" customFormat="1" x14ac:dyDescent="0.2">
      <c r="A17" s="40"/>
      <c r="B17" s="47" t="s">
        <v>22</v>
      </c>
      <c r="C17" s="48">
        <v>9</v>
      </c>
      <c r="D17" s="40"/>
      <c r="E17" s="49"/>
      <c r="F17" s="50"/>
      <c r="G17" s="51"/>
      <c r="H17" s="40"/>
      <c r="I17" s="254"/>
      <c r="J17" s="255"/>
      <c r="K17" s="256"/>
      <c r="L17" s="40"/>
    </row>
    <row r="18" spans="1:27" s="142" customFormat="1" ht="15" x14ac:dyDescent="0.2">
      <c r="A18" s="40"/>
      <c r="B18" s="151" t="s">
        <v>65</v>
      </c>
      <c r="C18" s="58" t="e">
        <f ca="1">(C14-C19)^2</f>
        <v>#NUM!</v>
      </c>
      <c r="D18" s="40"/>
      <c r="E18" s="52"/>
      <c r="F18" s="52"/>
      <c r="G18" s="52"/>
      <c r="H18" s="40"/>
      <c r="I18" s="53"/>
      <c r="J18" s="53"/>
      <c r="K18" s="53"/>
      <c r="L18" s="40"/>
    </row>
    <row r="19" spans="1:27" s="142" customFormat="1" ht="15" x14ac:dyDescent="0.2">
      <c r="A19" s="40"/>
      <c r="B19" s="161" t="str">
        <f>Q37</f>
        <v>American put price (Model)</v>
      </c>
      <c r="C19" s="60" t="e">
        <f ca="1">R37</f>
        <v>#NUM!</v>
      </c>
      <c r="D19" s="40"/>
      <c r="E19" s="52"/>
      <c r="F19" s="52"/>
      <c r="G19" s="52"/>
      <c r="H19" s="40"/>
      <c r="I19" s="53"/>
      <c r="J19" s="53"/>
      <c r="K19" s="53"/>
      <c r="L19" s="40"/>
    </row>
    <row r="20" spans="1:27" s="142" customFormat="1" x14ac:dyDescent="0.2">
      <c r="A20" s="40"/>
      <c r="B20" s="54"/>
      <c r="C20" s="40"/>
      <c r="D20" s="40"/>
      <c r="E20" s="40"/>
      <c r="F20" s="40"/>
      <c r="G20" s="40"/>
      <c r="H20" s="40"/>
      <c r="I20" s="40"/>
      <c r="J20" s="40"/>
      <c r="K20" s="40"/>
      <c r="L20" s="40"/>
    </row>
    <row r="21" spans="1:27" s="142" customFormat="1" x14ac:dyDescent="0.2">
      <c r="A21" s="140"/>
      <c r="B21" s="141"/>
      <c r="C21" s="140"/>
      <c r="D21" s="140"/>
      <c r="E21" s="140"/>
      <c r="F21" s="140"/>
      <c r="G21" s="140"/>
      <c r="H21" s="140"/>
      <c r="I21" s="140"/>
      <c r="J21" s="140"/>
      <c r="K21" s="140"/>
      <c r="L21" s="140"/>
    </row>
    <row r="22" spans="1:27" x14ac:dyDescent="0.2">
      <c r="A22" s="140"/>
      <c r="B22" s="140"/>
      <c r="C22" s="140"/>
      <c r="D22" s="140"/>
      <c r="E22" s="140"/>
      <c r="F22" s="140"/>
      <c r="G22" s="140"/>
      <c r="H22" s="140"/>
      <c r="I22" s="140"/>
      <c r="J22" s="140"/>
      <c r="K22" s="140"/>
      <c r="L22" s="140"/>
    </row>
    <row r="23" spans="1:27" s="142" customFormat="1" ht="15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Q23" s="144" t="s">
        <v>25</v>
      </c>
      <c r="R23" s="145">
        <v>0</v>
      </c>
      <c r="S23" s="145">
        <v>1</v>
      </c>
      <c r="T23" s="145">
        <v>2</v>
      </c>
      <c r="U23" s="145">
        <v>3</v>
      </c>
      <c r="V23" s="145">
        <v>4</v>
      </c>
      <c r="W23" s="145">
        <v>5</v>
      </c>
      <c r="X23" s="145">
        <v>6</v>
      </c>
      <c r="Y23" s="145">
        <v>7</v>
      </c>
      <c r="Z23" s="145">
        <v>8</v>
      </c>
      <c r="AA23" s="145">
        <v>9</v>
      </c>
    </row>
    <row r="24" spans="1:27" s="142" customFormat="1" ht="15" x14ac:dyDescent="0.25">
      <c r="A24" s="10"/>
      <c r="B24" s="240" t="s">
        <v>97</v>
      </c>
      <c r="C24" s="241"/>
      <c r="D24" s="241"/>
      <c r="E24" s="241"/>
      <c r="F24" s="241"/>
      <c r="G24" s="241"/>
      <c r="H24" s="241"/>
      <c r="I24" s="241"/>
      <c r="J24" s="241"/>
      <c r="K24" s="242"/>
      <c r="L24" s="10"/>
      <c r="Q24" s="144" t="s">
        <v>26</v>
      </c>
      <c r="R24" s="146">
        <f ca="1">R23*dt</f>
        <v>0</v>
      </c>
      <c r="S24" s="146">
        <f t="shared" ref="S24:AA24" ca="1" si="4">S23*dt</f>
        <v>-13.299543378995434</v>
      </c>
      <c r="T24" s="146">
        <f t="shared" ca="1" si="4"/>
        <v>-26.599086757990868</v>
      </c>
      <c r="U24" s="146">
        <f t="shared" ca="1" si="4"/>
        <v>-39.898630136986299</v>
      </c>
      <c r="V24" s="146">
        <f t="shared" ca="1" si="4"/>
        <v>-53.198173515981736</v>
      </c>
      <c r="W24" s="146">
        <f t="shared" ca="1" si="4"/>
        <v>-66.497716894977174</v>
      </c>
      <c r="X24" s="146">
        <f t="shared" ca="1" si="4"/>
        <v>-79.797260273972597</v>
      </c>
      <c r="Y24" s="146">
        <f t="shared" ca="1" si="4"/>
        <v>-93.096803652968035</v>
      </c>
      <c r="Z24" s="146">
        <f t="shared" ca="1" si="4"/>
        <v>-106.39634703196347</v>
      </c>
      <c r="AA24" s="146">
        <f t="shared" ca="1" si="4"/>
        <v>-119.69589041095891</v>
      </c>
    </row>
    <row r="25" spans="1:27" s="142" customFormat="1" ht="15" x14ac:dyDescent="0.25">
      <c r="A25" s="10"/>
      <c r="B25" s="243"/>
      <c r="C25" s="244"/>
      <c r="D25" s="244"/>
      <c r="E25" s="244"/>
      <c r="F25" s="244"/>
      <c r="G25" s="244"/>
      <c r="H25" s="244"/>
      <c r="I25" s="244"/>
      <c r="J25" s="244"/>
      <c r="K25" s="245"/>
      <c r="L25" s="10"/>
      <c r="Q25" s="147"/>
    </row>
    <row r="26" spans="1:27" s="142" customFormat="1" ht="15" x14ac:dyDescent="0.25">
      <c r="A26" s="10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0"/>
      <c r="Q26" s="144" t="s">
        <v>34</v>
      </c>
      <c r="R26" s="148">
        <f>S</f>
        <v>0</v>
      </c>
      <c r="S26" s="148" t="e">
        <f ca="1">R26*u</f>
        <v>#NUM!</v>
      </c>
      <c r="T26" s="148" t="e">
        <f ca="1">S26*u</f>
        <v>#NUM!</v>
      </c>
      <c r="U26" s="148" t="e">
        <f ca="1">T26*u</f>
        <v>#NUM!</v>
      </c>
      <c r="V26" s="148" t="e">
        <f t="shared" ref="V26:AA26" ca="1" si="5">U26*u</f>
        <v>#NUM!</v>
      </c>
      <c r="W26" s="148" t="e">
        <f t="shared" ca="1" si="5"/>
        <v>#NUM!</v>
      </c>
      <c r="X26" s="148" t="e">
        <f t="shared" ca="1" si="5"/>
        <v>#NUM!</v>
      </c>
      <c r="Y26" s="148" t="e">
        <f t="shared" ca="1" si="5"/>
        <v>#NUM!</v>
      </c>
      <c r="Z26" s="148" t="e">
        <f t="shared" ca="1" si="5"/>
        <v>#NUM!</v>
      </c>
      <c r="AA26" s="148" t="e">
        <f t="shared" ca="1" si="5"/>
        <v>#NUM!</v>
      </c>
    </row>
    <row r="27" spans="1:27" s="142" customFormat="1" ht="15" x14ac:dyDescent="0.25">
      <c r="A27" s="10"/>
      <c r="B27" s="124" t="s">
        <v>89</v>
      </c>
      <c r="C27" s="125"/>
      <c r="D27" s="125"/>
      <c r="E27" s="125"/>
      <c r="F27" s="125"/>
      <c r="G27" s="125"/>
      <c r="H27" s="125"/>
      <c r="I27" s="125"/>
      <c r="J27" s="125"/>
      <c r="K27" s="126"/>
      <c r="L27" s="10"/>
      <c r="Q27" s="147"/>
      <c r="R27" s="148"/>
      <c r="S27" s="148" t="e">
        <f t="shared" ref="S27:S35" ca="1" si="6">IF(ROW() -ROW($R$26)&gt;S$23,"",S26*d/u)</f>
        <v>#NUM!</v>
      </c>
      <c r="T27" s="148" t="e">
        <f t="shared" ref="T27:T35" ca="1" si="7">IF(ROW() -ROW($R$26)&gt;T$23,"",T26*d/u)</f>
        <v>#NUM!</v>
      </c>
      <c r="U27" s="148" t="e">
        <f t="shared" ref="U27:U35" ca="1" si="8">IF(ROW() -ROW($R$26)&gt;U$23,"",U26*d/u)</f>
        <v>#NUM!</v>
      </c>
      <c r="V27" s="148" t="e">
        <f t="shared" ref="V27:V35" ca="1" si="9">IF(ROW() -ROW($R$26)&gt;V$23,"",V26*d/u)</f>
        <v>#NUM!</v>
      </c>
      <c r="W27" s="148" t="e">
        <f t="shared" ref="W27:W35" ca="1" si="10">IF(ROW() -ROW($R$26)&gt;W$23,"",W26*d/u)</f>
        <v>#NUM!</v>
      </c>
      <c r="X27" s="148" t="e">
        <f t="shared" ref="X27:X35" ca="1" si="11">IF(ROW() -ROW($R$26)&gt;X$23,"",X26*d/u)</f>
        <v>#NUM!</v>
      </c>
      <c r="Y27" s="148" t="e">
        <f t="shared" ref="Y27:Y35" ca="1" si="12">IF(ROW() -ROW($R$26)&gt;Y$23,"",Y26*d/u)</f>
        <v>#NUM!</v>
      </c>
      <c r="Z27" s="148" t="e">
        <f t="shared" ref="Z27:Z35" ca="1" si="13">IF(ROW() -ROW($R$26)&gt;Z$23,"",Z26*d/u)</f>
        <v>#NUM!</v>
      </c>
      <c r="AA27" s="148" t="e">
        <f t="shared" ref="AA27:AA35" ca="1" si="14">IF(ROW() -ROW($R$26)&gt;AA$23,"",AA26*d/u)</f>
        <v>#NUM!</v>
      </c>
    </row>
    <row r="28" spans="1:27" s="142" customFormat="1" ht="15" x14ac:dyDescent="0.25">
      <c r="A28" s="10"/>
      <c r="B28" s="114" t="s">
        <v>79</v>
      </c>
      <c r="C28" s="104" t="s">
        <v>80</v>
      </c>
      <c r="D28" s="105"/>
      <c r="E28" s="105"/>
      <c r="F28" s="104" t="s">
        <v>81</v>
      </c>
      <c r="G28" s="103"/>
      <c r="H28" s="103"/>
      <c r="I28" s="103"/>
      <c r="J28" s="103"/>
      <c r="K28" s="113"/>
      <c r="L28" s="10"/>
      <c r="Q28" s="147"/>
      <c r="R28" s="148"/>
      <c r="S28" s="148" t="str">
        <f t="shared" si="6"/>
        <v/>
      </c>
      <c r="T28" s="148" t="e">
        <f t="shared" ca="1" si="7"/>
        <v>#NUM!</v>
      </c>
      <c r="U28" s="148" t="e">
        <f t="shared" ca="1" si="8"/>
        <v>#NUM!</v>
      </c>
      <c r="V28" s="148" t="e">
        <f t="shared" ca="1" si="9"/>
        <v>#NUM!</v>
      </c>
      <c r="W28" s="148" t="e">
        <f t="shared" ca="1" si="10"/>
        <v>#NUM!</v>
      </c>
      <c r="X28" s="148" t="e">
        <f t="shared" ca="1" si="11"/>
        <v>#NUM!</v>
      </c>
      <c r="Y28" s="148" t="e">
        <f t="shared" ca="1" si="12"/>
        <v>#NUM!</v>
      </c>
      <c r="Z28" s="148" t="e">
        <f t="shared" ca="1" si="13"/>
        <v>#NUM!</v>
      </c>
      <c r="AA28" s="148" t="e">
        <f t="shared" ca="1" si="14"/>
        <v>#NUM!</v>
      </c>
    </row>
    <row r="29" spans="1:27" s="142" customFormat="1" ht="15" x14ac:dyDescent="0.25">
      <c r="A29" s="10"/>
      <c r="B29" s="115" t="s">
        <v>82</v>
      </c>
      <c r="C29" s="106" t="s">
        <v>83</v>
      </c>
      <c r="D29" s="106"/>
      <c r="E29" s="106"/>
      <c r="F29" s="104" t="s">
        <v>84</v>
      </c>
      <c r="G29" s="103"/>
      <c r="H29" s="103"/>
      <c r="I29" s="103"/>
      <c r="J29" s="103"/>
      <c r="K29" s="113"/>
      <c r="L29" s="10"/>
      <c r="Q29" s="147"/>
      <c r="R29" s="148"/>
      <c r="S29" s="148" t="str">
        <f t="shared" si="6"/>
        <v/>
      </c>
      <c r="T29" s="148" t="str">
        <f t="shared" si="7"/>
        <v/>
      </c>
      <c r="U29" s="148" t="e">
        <f t="shared" ca="1" si="8"/>
        <v>#NUM!</v>
      </c>
      <c r="V29" s="148" t="e">
        <f t="shared" ca="1" si="9"/>
        <v>#NUM!</v>
      </c>
      <c r="W29" s="148" t="e">
        <f t="shared" ca="1" si="10"/>
        <v>#NUM!</v>
      </c>
      <c r="X29" s="148" t="e">
        <f t="shared" ca="1" si="11"/>
        <v>#NUM!</v>
      </c>
      <c r="Y29" s="148" t="e">
        <f t="shared" ca="1" si="12"/>
        <v>#NUM!</v>
      </c>
      <c r="Z29" s="148" t="e">
        <f t="shared" ca="1" si="13"/>
        <v>#NUM!</v>
      </c>
      <c r="AA29" s="148" t="e">
        <f t="shared" ca="1" si="14"/>
        <v>#NUM!</v>
      </c>
    </row>
    <row r="30" spans="1:27" s="142" customFormat="1" ht="15" x14ac:dyDescent="0.25">
      <c r="A30" s="10"/>
      <c r="B30" s="115" t="s">
        <v>85</v>
      </c>
      <c r="C30" s="106" t="s">
        <v>86</v>
      </c>
      <c r="D30" s="106"/>
      <c r="E30" s="106"/>
      <c r="F30" s="105"/>
      <c r="G30" s="103"/>
      <c r="H30" s="103"/>
      <c r="I30" s="103"/>
      <c r="J30" s="103"/>
      <c r="K30" s="113"/>
      <c r="L30" s="10"/>
      <c r="Q30" s="147"/>
      <c r="R30" s="148"/>
      <c r="S30" s="148" t="str">
        <f t="shared" si="6"/>
        <v/>
      </c>
      <c r="T30" s="148" t="str">
        <f t="shared" si="7"/>
        <v/>
      </c>
      <c r="U30" s="148" t="str">
        <f t="shared" si="8"/>
        <v/>
      </c>
      <c r="V30" s="148" t="e">
        <f t="shared" ca="1" si="9"/>
        <v>#NUM!</v>
      </c>
      <c r="W30" s="148" t="e">
        <f t="shared" ca="1" si="10"/>
        <v>#NUM!</v>
      </c>
      <c r="X30" s="148" t="e">
        <f t="shared" ca="1" si="11"/>
        <v>#NUM!</v>
      </c>
      <c r="Y30" s="148" t="e">
        <f t="shared" ca="1" si="12"/>
        <v>#NUM!</v>
      </c>
      <c r="Z30" s="148" t="e">
        <f t="shared" ca="1" si="13"/>
        <v>#NUM!</v>
      </c>
      <c r="AA30" s="148" t="e">
        <f t="shared" ca="1" si="14"/>
        <v>#NUM!</v>
      </c>
    </row>
    <row r="31" spans="1:27" s="142" customFormat="1" ht="15" x14ac:dyDescent="0.25">
      <c r="A31" s="10"/>
      <c r="B31" s="115" t="s">
        <v>87</v>
      </c>
      <c r="C31" s="107" t="s">
        <v>88</v>
      </c>
      <c r="D31" s="106"/>
      <c r="E31" s="106"/>
      <c r="F31" s="105"/>
      <c r="G31" s="103"/>
      <c r="H31" s="103"/>
      <c r="I31" s="103"/>
      <c r="J31" s="103"/>
      <c r="K31" s="113"/>
      <c r="L31" s="10"/>
      <c r="Q31" s="147"/>
      <c r="R31" s="148"/>
      <c r="S31" s="148" t="str">
        <f t="shared" si="6"/>
        <v/>
      </c>
      <c r="T31" s="148" t="str">
        <f t="shared" si="7"/>
        <v/>
      </c>
      <c r="U31" s="148" t="str">
        <f t="shared" si="8"/>
        <v/>
      </c>
      <c r="V31" s="148" t="str">
        <f t="shared" si="9"/>
        <v/>
      </c>
      <c r="W31" s="148" t="e">
        <f t="shared" ca="1" si="10"/>
        <v>#NUM!</v>
      </c>
      <c r="X31" s="148" t="e">
        <f t="shared" ca="1" si="11"/>
        <v>#NUM!</v>
      </c>
      <c r="Y31" s="148" t="e">
        <f t="shared" ca="1" si="12"/>
        <v>#NUM!</v>
      </c>
      <c r="Z31" s="148" t="e">
        <f t="shared" ca="1" si="13"/>
        <v>#NUM!</v>
      </c>
      <c r="AA31" s="148" t="e">
        <f t="shared" ca="1" si="14"/>
        <v>#NUM!</v>
      </c>
    </row>
    <row r="32" spans="1:27" s="142" customFormat="1" ht="15" x14ac:dyDescent="0.25">
      <c r="A32" s="10"/>
      <c r="B32" s="116"/>
      <c r="C32" s="103"/>
      <c r="D32" s="103"/>
      <c r="E32" s="103"/>
      <c r="F32" s="103"/>
      <c r="G32" s="103"/>
      <c r="H32" s="103"/>
      <c r="I32" s="103"/>
      <c r="J32" s="103"/>
      <c r="K32" s="113"/>
      <c r="L32" s="10"/>
      <c r="Q32" s="147"/>
      <c r="R32" s="148"/>
      <c r="S32" s="148" t="str">
        <f t="shared" si="6"/>
        <v/>
      </c>
      <c r="T32" s="148" t="str">
        <f t="shared" si="7"/>
        <v/>
      </c>
      <c r="U32" s="148" t="str">
        <f t="shared" si="8"/>
        <v/>
      </c>
      <c r="V32" s="148" t="str">
        <f t="shared" si="9"/>
        <v/>
      </c>
      <c r="W32" s="148" t="str">
        <f t="shared" si="10"/>
        <v/>
      </c>
      <c r="X32" s="148" t="e">
        <f t="shared" ca="1" si="11"/>
        <v>#NUM!</v>
      </c>
      <c r="Y32" s="148" t="e">
        <f t="shared" ca="1" si="12"/>
        <v>#NUM!</v>
      </c>
      <c r="Z32" s="148" t="e">
        <f t="shared" ca="1" si="13"/>
        <v>#NUM!</v>
      </c>
      <c r="AA32" s="148" t="e">
        <f t="shared" ca="1" si="14"/>
        <v>#NUM!</v>
      </c>
    </row>
    <row r="33" spans="1:27" s="142" customFormat="1" ht="15" x14ac:dyDescent="0.25">
      <c r="A33" s="10"/>
      <c r="B33" s="102" t="s">
        <v>90</v>
      </c>
      <c r="C33" s="103"/>
      <c r="D33" s="103"/>
      <c r="E33" s="103"/>
      <c r="F33" s="103"/>
      <c r="G33" s="103"/>
      <c r="H33" s="103"/>
      <c r="I33" s="103"/>
      <c r="J33" s="103"/>
      <c r="K33" s="113"/>
      <c r="L33" s="10"/>
      <c r="Q33" s="147"/>
      <c r="R33" s="148"/>
      <c r="S33" s="148" t="str">
        <f t="shared" si="6"/>
        <v/>
      </c>
      <c r="T33" s="148" t="str">
        <f t="shared" si="7"/>
        <v/>
      </c>
      <c r="U33" s="148" t="str">
        <f t="shared" si="8"/>
        <v/>
      </c>
      <c r="V33" s="148" t="str">
        <f t="shared" si="9"/>
        <v/>
      </c>
      <c r="W33" s="148" t="str">
        <f t="shared" si="10"/>
        <v/>
      </c>
      <c r="X33" s="148" t="str">
        <f t="shared" si="11"/>
        <v/>
      </c>
      <c r="Y33" s="148" t="e">
        <f t="shared" ca="1" si="12"/>
        <v>#NUM!</v>
      </c>
      <c r="Z33" s="148" t="e">
        <f t="shared" ca="1" si="13"/>
        <v>#NUM!</v>
      </c>
      <c r="AA33" s="148" t="e">
        <f t="shared" ca="1" si="14"/>
        <v>#NUM!</v>
      </c>
    </row>
    <row r="34" spans="1:27" s="142" customFormat="1" ht="15" x14ac:dyDescent="0.25">
      <c r="A34" s="10"/>
      <c r="B34" s="196" t="s">
        <v>91</v>
      </c>
      <c r="C34" s="197"/>
      <c r="D34" s="197"/>
      <c r="E34" s="197"/>
      <c r="F34" s="246" t="s">
        <v>92</v>
      </c>
      <c r="G34" s="246"/>
      <c r="H34" s="246"/>
      <c r="I34" s="246"/>
      <c r="J34" s="246"/>
      <c r="K34" s="110"/>
      <c r="L34" s="10"/>
      <c r="Q34" s="147"/>
      <c r="R34" s="148"/>
      <c r="S34" s="148" t="str">
        <f t="shared" si="6"/>
        <v/>
      </c>
      <c r="T34" s="148" t="str">
        <f t="shared" si="7"/>
        <v/>
      </c>
      <c r="U34" s="148" t="str">
        <f t="shared" si="8"/>
        <v/>
      </c>
      <c r="V34" s="148" t="str">
        <f t="shared" si="9"/>
        <v/>
      </c>
      <c r="W34" s="148" t="str">
        <f t="shared" si="10"/>
        <v/>
      </c>
      <c r="X34" s="148" t="str">
        <f t="shared" si="11"/>
        <v/>
      </c>
      <c r="Y34" s="148" t="str">
        <f t="shared" si="12"/>
        <v/>
      </c>
      <c r="Z34" s="148" t="e">
        <f t="shared" ca="1" si="13"/>
        <v>#NUM!</v>
      </c>
      <c r="AA34" s="148" t="e">
        <f t="shared" ca="1" si="14"/>
        <v>#NUM!</v>
      </c>
    </row>
    <row r="35" spans="1:27" s="142" customFormat="1" ht="15" x14ac:dyDescent="0.25">
      <c r="A35" s="10"/>
      <c r="B35" s="196"/>
      <c r="C35" s="197"/>
      <c r="D35" s="197"/>
      <c r="E35" s="197"/>
      <c r="F35" s="246"/>
      <c r="G35" s="246"/>
      <c r="H35" s="246"/>
      <c r="I35" s="246"/>
      <c r="J35" s="246"/>
      <c r="K35" s="110"/>
      <c r="L35" s="123"/>
      <c r="Q35" s="147"/>
      <c r="R35" s="148"/>
      <c r="S35" s="148" t="str">
        <f t="shared" si="6"/>
        <v/>
      </c>
      <c r="T35" s="148" t="str">
        <f t="shared" si="7"/>
        <v/>
      </c>
      <c r="U35" s="148" t="str">
        <f t="shared" si="8"/>
        <v/>
      </c>
      <c r="V35" s="148" t="str">
        <f t="shared" si="9"/>
        <v/>
      </c>
      <c r="W35" s="148" t="str">
        <f t="shared" si="10"/>
        <v/>
      </c>
      <c r="X35" s="148" t="str">
        <f t="shared" si="11"/>
        <v/>
      </c>
      <c r="Y35" s="148" t="str">
        <f t="shared" si="12"/>
        <v/>
      </c>
      <c r="Z35" s="148" t="str">
        <f t="shared" si="13"/>
        <v/>
      </c>
      <c r="AA35" s="148" t="e">
        <f t="shared" ca="1" si="14"/>
        <v>#NUM!</v>
      </c>
    </row>
    <row r="36" spans="1:27" s="142" customFormat="1" ht="15" x14ac:dyDescent="0.25">
      <c r="A36" s="10"/>
      <c r="B36" s="117"/>
      <c r="C36" s="108"/>
      <c r="D36" s="108"/>
      <c r="E36" s="108"/>
      <c r="F36" s="108"/>
      <c r="G36" s="109"/>
      <c r="H36" s="109"/>
      <c r="I36" s="109"/>
      <c r="J36" s="108"/>
      <c r="K36" s="118"/>
      <c r="L36" s="123"/>
      <c r="Q36" s="147"/>
    </row>
    <row r="37" spans="1:27" s="142" customFormat="1" ht="15" x14ac:dyDescent="0.25">
      <c r="A37" s="10"/>
      <c r="B37" s="102" t="s">
        <v>93</v>
      </c>
      <c r="C37" s="103"/>
      <c r="D37" s="103"/>
      <c r="E37" s="103"/>
      <c r="F37" s="103"/>
      <c r="G37" s="103"/>
      <c r="H37" s="103"/>
      <c r="I37" s="103"/>
      <c r="J37" s="108"/>
      <c r="K37" s="118"/>
      <c r="L37" s="123"/>
      <c r="Q37" s="144" t="str">
        <f>"American " &amp;  IF(OptType=1,"call", "put") &amp; " price (Model)"</f>
        <v>American put price (Model)</v>
      </c>
      <c r="R37" s="149" t="e">
        <f t="shared" ref="R37:T46" ca="1" si="15">IF(R26="","",MAX(MAX(OptType*(R26-K),0),(p*S37+(1-p)*S38)*emrdt))</f>
        <v>#NUM!</v>
      </c>
      <c r="S37" s="148" t="e">
        <f t="shared" ca="1" si="15"/>
        <v>#NUM!</v>
      </c>
      <c r="T37" s="148" t="e">
        <f t="shared" ca="1" si="15"/>
        <v>#NUM!</v>
      </c>
      <c r="U37" s="148" t="e">
        <f t="shared" ref="U37:Y37" ca="1" si="16">IF(U26="","",MAX(MAX(OptType*(U26-K),0),(p*V37+(1-p)*V38)*emrdt))</f>
        <v>#NUM!</v>
      </c>
      <c r="V37" s="148" t="e">
        <f t="shared" ca="1" si="16"/>
        <v>#NUM!</v>
      </c>
      <c r="W37" s="148" t="e">
        <f t="shared" ca="1" si="16"/>
        <v>#NUM!</v>
      </c>
      <c r="X37" s="148" t="e">
        <f t="shared" ca="1" si="16"/>
        <v>#NUM!</v>
      </c>
      <c r="Y37" s="148" t="e">
        <f t="shared" ca="1" si="16"/>
        <v>#NUM!</v>
      </c>
      <c r="Z37" s="148" t="e">
        <f ca="1">IF(Z26="","",MAX(MAX(OptType*(Z26-K),0),(p*AA37+(1-p)*AA38)*emrdt))</f>
        <v>#NUM!</v>
      </c>
      <c r="AA37" s="148" t="e">
        <f ca="1">MAX(0,OptType*(AA26-K))</f>
        <v>#NUM!</v>
      </c>
    </row>
    <row r="38" spans="1:27" s="142" customFormat="1" ht="15" x14ac:dyDescent="0.25">
      <c r="A38" s="10"/>
      <c r="B38" s="102"/>
      <c r="C38" s="104" t="s">
        <v>94</v>
      </c>
      <c r="D38" s="104"/>
      <c r="E38" s="104"/>
      <c r="F38" s="103"/>
      <c r="G38" s="103"/>
      <c r="H38" s="103"/>
      <c r="I38" s="103"/>
      <c r="J38" s="103"/>
      <c r="K38" s="113"/>
      <c r="L38" s="10"/>
      <c r="R38" s="148" t="str">
        <f t="shared" si="15"/>
        <v/>
      </c>
      <c r="S38" s="148" t="e">
        <f t="shared" ca="1" si="15"/>
        <v>#NUM!</v>
      </c>
      <c r="T38" s="148" t="e">
        <f t="shared" ca="1" si="15"/>
        <v>#NUM!</v>
      </c>
      <c r="U38" s="148" t="e">
        <f t="shared" ref="U38:Y38" ca="1" si="17">IF(U27="","",MAX(MAX(OptType*(U27-K),0),(p*V38+(1-p)*V39)*emrdt))</f>
        <v>#NUM!</v>
      </c>
      <c r="V38" s="148" t="e">
        <f t="shared" ca="1" si="17"/>
        <v>#NUM!</v>
      </c>
      <c r="W38" s="148" t="e">
        <f t="shared" ca="1" si="17"/>
        <v>#NUM!</v>
      </c>
      <c r="X38" s="148" t="e">
        <f t="shared" ca="1" si="17"/>
        <v>#NUM!</v>
      </c>
      <c r="Y38" s="148" t="e">
        <f t="shared" ca="1" si="17"/>
        <v>#NUM!</v>
      </c>
      <c r="Z38" s="148" t="e">
        <f t="shared" ref="Z38:Z46" ca="1" si="18">IF(Z27="","",MAX(MAX(OptType*(Z27-K),0),(p*AA38+(1-p)*AA39)*emrdt))</f>
        <v>#NUM!</v>
      </c>
      <c r="AA38" s="148" t="e">
        <f t="shared" ref="AA38:AA46" ca="1" si="19">MAX(0,OptType*(AA27-K))</f>
        <v>#NUM!</v>
      </c>
    </row>
    <row r="39" spans="1:27" s="142" customFormat="1" ht="15" x14ac:dyDescent="0.25">
      <c r="A39" s="10"/>
      <c r="B39" s="111"/>
      <c r="C39" s="107" t="s">
        <v>95</v>
      </c>
      <c r="D39" s="112"/>
      <c r="E39" s="112"/>
      <c r="F39" s="103"/>
      <c r="G39" s="103"/>
      <c r="H39" s="103"/>
      <c r="I39" s="103"/>
      <c r="J39" s="103"/>
      <c r="K39" s="113"/>
      <c r="L39" s="10"/>
      <c r="R39" s="148" t="str">
        <f t="shared" si="15"/>
        <v/>
      </c>
      <c r="S39" s="148" t="str">
        <f t="shared" si="15"/>
        <v/>
      </c>
      <c r="T39" s="148" t="e">
        <f t="shared" ca="1" si="15"/>
        <v>#NUM!</v>
      </c>
      <c r="U39" s="148" t="e">
        <f t="shared" ref="U39:Y39" ca="1" si="20">IF(U28="","",MAX(MAX(OptType*(U28-K),0),(p*V39+(1-p)*V40)*emrdt))</f>
        <v>#NUM!</v>
      </c>
      <c r="V39" s="148" t="e">
        <f t="shared" ca="1" si="20"/>
        <v>#NUM!</v>
      </c>
      <c r="W39" s="148" t="e">
        <f t="shared" ca="1" si="20"/>
        <v>#NUM!</v>
      </c>
      <c r="X39" s="148" t="e">
        <f t="shared" ca="1" si="20"/>
        <v>#NUM!</v>
      </c>
      <c r="Y39" s="148" t="e">
        <f t="shared" ca="1" si="20"/>
        <v>#NUM!</v>
      </c>
      <c r="Z39" s="148" t="e">
        <f t="shared" ca="1" si="18"/>
        <v>#NUM!</v>
      </c>
      <c r="AA39" s="148" t="e">
        <f t="shared" ca="1" si="19"/>
        <v>#NUM!</v>
      </c>
    </row>
    <row r="40" spans="1:27" s="142" customFormat="1" ht="15" x14ac:dyDescent="0.25">
      <c r="A40" s="10"/>
      <c r="B40" s="116"/>
      <c r="C40" s="119" t="s">
        <v>96</v>
      </c>
      <c r="D40" s="103"/>
      <c r="E40" s="103"/>
      <c r="F40" s="103"/>
      <c r="G40" s="103"/>
      <c r="H40" s="103"/>
      <c r="I40" s="103"/>
      <c r="J40" s="103"/>
      <c r="K40" s="113"/>
      <c r="L40" s="10"/>
      <c r="R40" s="148" t="str">
        <f t="shared" si="15"/>
        <v/>
      </c>
      <c r="S40" s="148" t="str">
        <f t="shared" si="15"/>
        <v/>
      </c>
      <c r="T40" s="148" t="str">
        <f t="shared" si="15"/>
        <v/>
      </c>
      <c r="U40" s="148" t="e">
        <f t="shared" ref="U40:Y40" ca="1" si="21">IF(U29="","",MAX(MAX(OptType*(U29-K),0),(p*V40+(1-p)*V41)*emrdt))</f>
        <v>#NUM!</v>
      </c>
      <c r="V40" s="148" t="e">
        <f t="shared" ca="1" si="21"/>
        <v>#NUM!</v>
      </c>
      <c r="W40" s="148" t="e">
        <f t="shared" ca="1" si="21"/>
        <v>#NUM!</v>
      </c>
      <c r="X40" s="148" t="e">
        <f t="shared" ca="1" si="21"/>
        <v>#NUM!</v>
      </c>
      <c r="Y40" s="148" t="e">
        <f t="shared" ca="1" si="21"/>
        <v>#NUM!</v>
      </c>
      <c r="Z40" s="148" t="e">
        <f t="shared" ca="1" si="18"/>
        <v>#NUM!</v>
      </c>
      <c r="AA40" s="148" t="e">
        <f t="shared" ca="1" si="19"/>
        <v>#NUM!</v>
      </c>
    </row>
    <row r="41" spans="1:27" s="142" customFormat="1" ht="15" x14ac:dyDescent="0.25">
      <c r="A41" s="10"/>
      <c r="B41" s="120"/>
      <c r="C41" s="121"/>
      <c r="D41" s="121"/>
      <c r="E41" s="121"/>
      <c r="F41" s="121"/>
      <c r="G41" s="121"/>
      <c r="H41" s="121"/>
      <c r="I41" s="121"/>
      <c r="J41" s="121"/>
      <c r="K41" s="122"/>
      <c r="L41" s="10"/>
      <c r="R41" s="148" t="str">
        <f t="shared" si="15"/>
        <v/>
      </c>
      <c r="S41" s="148" t="str">
        <f t="shared" si="15"/>
        <v/>
      </c>
      <c r="T41" s="148" t="str">
        <f t="shared" si="15"/>
        <v/>
      </c>
      <c r="U41" s="148" t="str">
        <f t="shared" ref="U41:Y41" si="22">IF(U30="","",MAX(MAX(OptType*(U30-K),0),(p*V41+(1-p)*V42)*emrdt))</f>
        <v/>
      </c>
      <c r="V41" s="148" t="e">
        <f t="shared" ca="1" si="22"/>
        <v>#NUM!</v>
      </c>
      <c r="W41" s="148" t="e">
        <f t="shared" ca="1" si="22"/>
        <v>#NUM!</v>
      </c>
      <c r="X41" s="148" t="e">
        <f t="shared" ca="1" si="22"/>
        <v>#NUM!</v>
      </c>
      <c r="Y41" s="148" t="e">
        <f t="shared" ca="1" si="22"/>
        <v>#NUM!</v>
      </c>
      <c r="Z41" s="148" t="e">
        <f t="shared" ca="1" si="18"/>
        <v>#NUM!</v>
      </c>
      <c r="AA41" s="148" t="e">
        <f t="shared" ca="1" si="19"/>
        <v>#NUM!</v>
      </c>
    </row>
    <row r="42" spans="1:27" s="142" customFormat="1" ht="15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R42" s="148" t="str">
        <f t="shared" si="15"/>
        <v/>
      </c>
      <c r="S42" s="148" t="str">
        <f t="shared" si="15"/>
        <v/>
      </c>
      <c r="T42" s="148" t="str">
        <f t="shared" si="15"/>
        <v/>
      </c>
      <c r="U42" s="148" t="str">
        <f t="shared" ref="U42:Y42" si="23">IF(U31="","",MAX(MAX(OptType*(U31-K),0),(p*V42+(1-p)*V43)*emrdt))</f>
        <v/>
      </c>
      <c r="V42" s="148" t="str">
        <f t="shared" si="23"/>
        <v/>
      </c>
      <c r="W42" s="148" t="e">
        <f t="shared" ca="1" si="23"/>
        <v>#NUM!</v>
      </c>
      <c r="X42" s="148" t="e">
        <f t="shared" ca="1" si="23"/>
        <v>#NUM!</v>
      </c>
      <c r="Y42" s="148" t="e">
        <f t="shared" ca="1" si="23"/>
        <v>#NUM!</v>
      </c>
      <c r="Z42" s="148" t="e">
        <f t="shared" ca="1" si="18"/>
        <v>#NUM!</v>
      </c>
      <c r="AA42" s="148" t="e">
        <f t="shared" ca="1" si="19"/>
        <v>#NUM!</v>
      </c>
    </row>
    <row r="43" spans="1:27" s="142" customFormat="1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R43" s="148" t="str">
        <f t="shared" si="15"/>
        <v/>
      </c>
      <c r="S43" s="148" t="str">
        <f t="shared" si="15"/>
        <v/>
      </c>
      <c r="T43" s="148" t="str">
        <f t="shared" si="15"/>
        <v/>
      </c>
      <c r="U43" s="148" t="str">
        <f t="shared" ref="U43:Y43" si="24">IF(U32="","",MAX(MAX(OptType*(U32-K),0),(p*V43+(1-p)*V44)*emrdt))</f>
        <v/>
      </c>
      <c r="V43" s="148" t="str">
        <f t="shared" si="24"/>
        <v/>
      </c>
      <c r="W43" s="148" t="str">
        <f t="shared" si="24"/>
        <v/>
      </c>
      <c r="X43" s="148" t="e">
        <f t="shared" ca="1" si="24"/>
        <v>#NUM!</v>
      </c>
      <c r="Y43" s="148" t="e">
        <f t="shared" ca="1" si="24"/>
        <v>#NUM!</v>
      </c>
      <c r="Z43" s="148" t="e">
        <f t="shared" ca="1" si="18"/>
        <v>#NUM!</v>
      </c>
      <c r="AA43" s="148" t="e">
        <f t="shared" ca="1" si="19"/>
        <v>#NUM!</v>
      </c>
    </row>
    <row r="44" spans="1:27" s="142" customFormat="1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R44" s="148" t="str">
        <f t="shared" si="15"/>
        <v/>
      </c>
      <c r="S44" s="148" t="str">
        <f t="shared" si="15"/>
        <v/>
      </c>
      <c r="T44" s="148" t="str">
        <f t="shared" si="15"/>
        <v/>
      </c>
      <c r="U44" s="148" t="str">
        <f t="shared" ref="U44:Y44" si="25">IF(U33="","",MAX(MAX(OptType*(U33-K),0),(p*V44+(1-p)*V45)*emrdt))</f>
        <v/>
      </c>
      <c r="V44" s="148" t="str">
        <f t="shared" si="25"/>
        <v/>
      </c>
      <c r="W44" s="148" t="str">
        <f t="shared" si="25"/>
        <v/>
      </c>
      <c r="X44" s="148" t="str">
        <f t="shared" si="25"/>
        <v/>
      </c>
      <c r="Y44" s="148" t="e">
        <f t="shared" ca="1" si="25"/>
        <v>#NUM!</v>
      </c>
      <c r="Z44" s="148" t="e">
        <f t="shared" ca="1" si="18"/>
        <v>#NUM!</v>
      </c>
      <c r="AA44" s="148" t="e">
        <f t="shared" ca="1" si="19"/>
        <v>#NUM!</v>
      </c>
    </row>
    <row r="45" spans="1:27" s="142" customFormat="1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R45" s="148" t="str">
        <f t="shared" si="15"/>
        <v/>
      </c>
      <c r="S45" s="148" t="str">
        <f t="shared" si="15"/>
        <v/>
      </c>
      <c r="T45" s="148" t="str">
        <f t="shared" si="15"/>
        <v/>
      </c>
      <c r="U45" s="148" t="str">
        <f t="shared" ref="U45:Y45" si="26">IF(U34="","",MAX(MAX(OptType*(U34-K),0),(p*V45+(1-p)*V46)*emrdt))</f>
        <v/>
      </c>
      <c r="V45" s="148" t="str">
        <f t="shared" si="26"/>
        <v/>
      </c>
      <c r="W45" s="148" t="str">
        <f t="shared" si="26"/>
        <v/>
      </c>
      <c r="X45" s="148" t="str">
        <f t="shared" si="26"/>
        <v/>
      </c>
      <c r="Y45" s="148" t="str">
        <f t="shared" si="26"/>
        <v/>
      </c>
      <c r="Z45" s="148" t="e">
        <f t="shared" ca="1" si="18"/>
        <v>#NUM!</v>
      </c>
      <c r="AA45" s="148" t="e">
        <f t="shared" ca="1" si="19"/>
        <v>#NUM!</v>
      </c>
    </row>
    <row r="46" spans="1:27" s="142" customFormat="1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R46" s="148" t="str">
        <f t="shared" si="15"/>
        <v/>
      </c>
      <c r="S46" s="148" t="str">
        <f t="shared" si="15"/>
        <v/>
      </c>
      <c r="T46" s="148" t="str">
        <f t="shared" si="15"/>
        <v/>
      </c>
      <c r="U46" s="148" t="str">
        <f t="shared" ref="U46:Y46" si="27">IF(U35="","",MAX(MAX(OptType*(U35-K),0),(p*V46+(1-p)*V47)*emrdt))</f>
        <v/>
      </c>
      <c r="V46" s="148" t="str">
        <f t="shared" si="27"/>
        <v/>
      </c>
      <c r="W46" s="148" t="str">
        <f t="shared" si="27"/>
        <v/>
      </c>
      <c r="X46" s="148" t="str">
        <f t="shared" si="27"/>
        <v/>
      </c>
      <c r="Y46" s="148" t="str">
        <f t="shared" si="27"/>
        <v/>
      </c>
      <c r="Z46" s="148" t="str">
        <f t="shared" si="18"/>
        <v/>
      </c>
      <c r="AA46" s="148" t="e">
        <f t="shared" ca="1" si="19"/>
        <v>#NUM!</v>
      </c>
    </row>
    <row r="48" spans="1:27" s="142" customFormat="1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Q48" s="144" t="str">
        <f>"European " &amp;  IF(OptType=1,"call", "put") &amp; " price"</f>
        <v>European put price</v>
      </c>
      <c r="R48" s="150" t="e">
        <f t="shared" ref="R48:T56" ca="1" si="28">IF(R37="","",(p*S48+(1-p)*S49)*emrdt)</f>
        <v>#NUM!</v>
      </c>
      <c r="S48" s="148" t="e">
        <f t="shared" ca="1" si="28"/>
        <v>#NUM!</v>
      </c>
      <c r="T48" s="148" t="e">
        <f t="shared" ca="1" si="28"/>
        <v>#NUM!</v>
      </c>
      <c r="U48" s="148" t="e">
        <f t="shared" ref="U48:Y56" ca="1" si="29">IF(U37="","",(p*V48+(1-p)*V49)*emrdt)</f>
        <v>#NUM!</v>
      </c>
      <c r="V48" s="148" t="e">
        <f t="shared" ca="1" si="29"/>
        <v>#NUM!</v>
      </c>
      <c r="W48" s="148" t="e">
        <f t="shared" ca="1" si="29"/>
        <v>#NUM!</v>
      </c>
      <c r="X48" s="148" t="e">
        <f t="shared" ca="1" si="29"/>
        <v>#NUM!</v>
      </c>
      <c r="Y48" s="148" t="e">
        <f t="shared" ca="1" si="29"/>
        <v>#NUM!</v>
      </c>
      <c r="Z48" s="148" t="e">
        <f ca="1">IF(Z37="","",(p*AA48+(1-p)*AA49)*emrdt)</f>
        <v>#NUM!</v>
      </c>
      <c r="AA48" s="148" t="e">
        <f ca="1">MAX(0,OptType*(AA26-K))</f>
        <v>#NUM!</v>
      </c>
    </row>
    <row r="49" spans="1:27" s="142" customFormat="1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R49" s="148" t="str">
        <f t="shared" si="28"/>
        <v/>
      </c>
      <c r="S49" s="148" t="e">
        <f t="shared" ca="1" si="28"/>
        <v>#NUM!</v>
      </c>
      <c r="T49" s="148" t="e">
        <f t="shared" ca="1" si="28"/>
        <v>#NUM!</v>
      </c>
      <c r="U49" s="148" t="e">
        <f t="shared" ca="1" si="29"/>
        <v>#NUM!</v>
      </c>
      <c r="V49" s="148" t="e">
        <f t="shared" ca="1" si="29"/>
        <v>#NUM!</v>
      </c>
      <c r="W49" s="148" t="e">
        <f t="shared" ca="1" si="29"/>
        <v>#NUM!</v>
      </c>
      <c r="X49" s="148" t="e">
        <f t="shared" ca="1" si="29"/>
        <v>#NUM!</v>
      </c>
      <c r="Y49" s="148" t="e">
        <f t="shared" ca="1" si="29"/>
        <v>#NUM!</v>
      </c>
      <c r="Z49" s="148" t="e">
        <f t="shared" ref="Z49:Z56" ca="1" si="30">IF(Z38="","",(p*AA49+(1-p)*AA50)*emrdt)</f>
        <v>#NUM!</v>
      </c>
      <c r="AA49" s="148" t="e">
        <f t="shared" ref="AA49:AA57" ca="1" si="31">MAX(0,OptType*(AA27-K))</f>
        <v>#NUM!</v>
      </c>
    </row>
    <row r="50" spans="1:27" s="142" customFormat="1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R50" s="148" t="str">
        <f t="shared" si="28"/>
        <v/>
      </c>
      <c r="S50" s="148" t="str">
        <f t="shared" si="28"/>
        <v/>
      </c>
      <c r="T50" s="148" t="e">
        <f t="shared" ca="1" si="28"/>
        <v>#NUM!</v>
      </c>
      <c r="U50" s="148" t="e">
        <f t="shared" ca="1" si="29"/>
        <v>#NUM!</v>
      </c>
      <c r="V50" s="148" t="e">
        <f t="shared" ca="1" si="29"/>
        <v>#NUM!</v>
      </c>
      <c r="W50" s="148" t="e">
        <f t="shared" ca="1" si="29"/>
        <v>#NUM!</v>
      </c>
      <c r="X50" s="148" t="e">
        <f t="shared" ca="1" si="29"/>
        <v>#NUM!</v>
      </c>
      <c r="Y50" s="148" t="e">
        <f t="shared" ca="1" si="29"/>
        <v>#NUM!</v>
      </c>
      <c r="Z50" s="148" t="e">
        <f t="shared" ca="1" si="30"/>
        <v>#NUM!</v>
      </c>
      <c r="AA50" s="148" t="e">
        <f t="shared" ca="1" si="31"/>
        <v>#NUM!</v>
      </c>
    </row>
    <row r="51" spans="1:27" s="142" customFormat="1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R51" s="148" t="str">
        <f t="shared" si="28"/>
        <v/>
      </c>
      <c r="S51" s="148" t="str">
        <f t="shared" si="28"/>
        <v/>
      </c>
      <c r="T51" s="148" t="str">
        <f t="shared" si="28"/>
        <v/>
      </c>
      <c r="U51" s="148" t="e">
        <f t="shared" ca="1" si="29"/>
        <v>#NUM!</v>
      </c>
      <c r="V51" s="148" t="e">
        <f t="shared" ca="1" si="29"/>
        <v>#NUM!</v>
      </c>
      <c r="W51" s="148" t="e">
        <f t="shared" ca="1" si="29"/>
        <v>#NUM!</v>
      </c>
      <c r="X51" s="148" t="e">
        <f t="shared" ca="1" si="29"/>
        <v>#NUM!</v>
      </c>
      <c r="Y51" s="148" t="e">
        <f t="shared" ca="1" si="29"/>
        <v>#NUM!</v>
      </c>
      <c r="Z51" s="148" t="e">
        <f t="shared" ca="1" si="30"/>
        <v>#NUM!</v>
      </c>
      <c r="AA51" s="148" t="e">
        <f t="shared" ca="1" si="31"/>
        <v>#NUM!</v>
      </c>
    </row>
    <row r="52" spans="1:27" s="142" customFormat="1" x14ac:dyDescent="0.2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R52" s="148" t="str">
        <f t="shared" si="28"/>
        <v/>
      </c>
      <c r="S52" s="148" t="str">
        <f t="shared" si="28"/>
        <v/>
      </c>
      <c r="T52" s="148" t="str">
        <f t="shared" si="28"/>
        <v/>
      </c>
      <c r="U52" s="148" t="str">
        <f t="shared" si="29"/>
        <v/>
      </c>
      <c r="V52" s="148" t="e">
        <f t="shared" ca="1" si="29"/>
        <v>#NUM!</v>
      </c>
      <c r="W52" s="148" t="e">
        <f t="shared" ca="1" si="29"/>
        <v>#NUM!</v>
      </c>
      <c r="X52" s="148" t="e">
        <f t="shared" ca="1" si="29"/>
        <v>#NUM!</v>
      </c>
      <c r="Y52" s="148" t="e">
        <f t="shared" ca="1" si="29"/>
        <v>#NUM!</v>
      </c>
      <c r="Z52" s="148" t="e">
        <f t="shared" ca="1" si="30"/>
        <v>#NUM!</v>
      </c>
      <c r="AA52" s="148" t="e">
        <f t="shared" ca="1" si="31"/>
        <v>#NUM!</v>
      </c>
    </row>
    <row r="53" spans="1:27" s="142" customFormat="1" x14ac:dyDescent="0.2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R53" s="148" t="str">
        <f t="shared" si="28"/>
        <v/>
      </c>
      <c r="S53" s="148" t="str">
        <f t="shared" si="28"/>
        <v/>
      </c>
      <c r="T53" s="148" t="str">
        <f t="shared" si="28"/>
        <v/>
      </c>
      <c r="U53" s="148" t="str">
        <f t="shared" si="29"/>
        <v/>
      </c>
      <c r="V53" s="148" t="str">
        <f t="shared" si="29"/>
        <v/>
      </c>
      <c r="W53" s="148" t="e">
        <f t="shared" ca="1" si="29"/>
        <v>#NUM!</v>
      </c>
      <c r="X53" s="148" t="e">
        <f t="shared" ca="1" si="29"/>
        <v>#NUM!</v>
      </c>
      <c r="Y53" s="148" t="e">
        <f t="shared" ca="1" si="29"/>
        <v>#NUM!</v>
      </c>
      <c r="Z53" s="148" t="e">
        <f t="shared" ca="1" si="30"/>
        <v>#NUM!</v>
      </c>
      <c r="AA53" s="148" t="e">
        <f t="shared" ca="1" si="31"/>
        <v>#NUM!</v>
      </c>
    </row>
    <row r="54" spans="1:27" s="142" customFormat="1" x14ac:dyDescent="0.2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R54" s="148" t="str">
        <f t="shared" si="28"/>
        <v/>
      </c>
      <c r="S54" s="148" t="str">
        <f t="shared" si="28"/>
        <v/>
      </c>
      <c r="T54" s="148" t="str">
        <f t="shared" si="28"/>
        <v/>
      </c>
      <c r="U54" s="148" t="str">
        <f t="shared" si="29"/>
        <v/>
      </c>
      <c r="V54" s="148" t="str">
        <f t="shared" si="29"/>
        <v/>
      </c>
      <c r="W54" s="148" t="str">
        <f t="shared" si="29"/>
        <v/>
      </c>
      <c r="X54" s="148" t="e">
        <f t="shared" ca="1" si="29"/>
        <v>#NUM!</v>
      </c>
      <c r="Y54" s="148" t="e">
        <f t="shared" ca="1" si="29"/>
        <v>#NUM!</v>
      </c>
      <c r="Z54" s="148" t="e">
        <f t="shared" ca="1" si="30"/>
        <v>#NUM!</v>
      </c>
      <c r="AA54" s="148" t="e">
        <f t="shared" ca="1" si="31"/>
        <v>#NUM!</v>
      </c>
    </row>
    <row r="55" spans="1:27" s="142" customFormat="1" x14ac:dyDescent="0.2">
      <c r="A55" s="3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R55" s="148" t="str">
        <f t="shared" si="28"/>
        <v/>
      </c>
      <c r="S55" s="148" t="str">
        <f t="shared" si="28"/>
        <v/>
      </c>
      <c r="T55" s="148" t="str">
        <f t="shared" si="28"/>
        <v/>
      </c>
      <c r="U55" s="148" t="str">
        <f t="shared" si="29"/>
        <v/>
      </c>
      <c r="V55" s="148" t="str">
        <f t="shared" si="29"/>
        <v/>
      </c>
      <c r="W55" s="148" t="str">
        <f t="shared" si="29"/>
        <v/>
      </c>
      <c r="X55" s="148" t="str">
        <f t="shared" si="29"/>
        <v/>
      </c>
      <c r="Y55" s="148" t="e">
        <f t="shared" ca="1" si="29"/>
        <v>#NUM!</v>
      </c>
      <c r="Z55" s="148" t="e">
        <f t="shared" ca="1" si="30"/>
        <v>#NUM!</v>
      </c>
      <c r="AA55" s="148" t="e">
        <f t="shared" ca="1" si="31"/>
        <v>#NUM!</v>
      </c>
    </row>
    <row r="56" spans="1:27" s="142" customFormat="1" x14ac:dyDescent="0.2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R56" s="148" t="str">
        <f t="shared" si="28"/>
        <v/>
      </c>
      <c r="S56" s="148" t="str">
        <f t="shared" si="28"/>
        <v/>
      </c>
      <c r="T56" s="148" t="str">
        <f t="shared" si="28"/>
        <v/>
      </c>
      <c r="U56" s="148" t="str">
        <f t="shared" si="29"/>
        <v/>
      </c>
      <c r="V56" s="148" t="str">
        <f t="shared" si="29"/>
        <v/>
      </c>
      <c r="W56" s="148" t="str">
        <f t="shared" si="29"/>
        <v/>
      </c>
      <c r="X56" s="148" t="str">
        <f t="shared" si="29"/>
        <v/>
      </c>
      <c r="Y56" s="148" t="str">
        <f t="shared" si="29"/>
        <v/>
      </c>
      <c r="Z56" s="148" t="e">
        <f t="shared" ca="1" si="30"/>
        <v>#NUM!</v>
      </c>
      <c r="AA56" s="148" t="e">
        <f t="shared" ca="1" si="31"/>
        <v>#NUM!</v>
      </c>
    </row>
    <row r="57" spans="1:27" s="142" customFormat="1" x14ac:dyDescent="0.2">
      <c r="A57" s="3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R57" s="148" t="str">
        <f t="shared" ref="R57:Z57" si="32">IF(R46="","",(p*S57+(1-p)*C58)*emrdt)</f>
        <v/>
      </c>
      <c r="S57" s="148" t="str">
        <f t="shared" si="32"/>
        <v/>
      </c>
      <c r="T57" s="148" t="str">
        <f t="shared" si="32"/>
        <v/>
      </c>
      <c r="U57" s="148" t="str">
        <f t="shared" si="32"/>
        <v/>
      </c>
      <c r="V57" s="148" t="str">
        <f t="shared" si="32"/>
        <v/>
      </c>
      <c r="W57" s="148" t="str">
        <f t="shared" si="32"/>
        <v/>
      </c>
      <c r="X57" s="148" t="str">
        <f t="shared" si="32"/>
        <v/>
      </c>
      <c r="Y57" s="148" t="str">
        <f t="shared" si="32"/>
        <v/>
      </c>
      <c r="Z57" s="148" t="str">
        <f t="shared" si="32"/>
        <v/>
      </c>
      <c r="AA57" s="148" t="e">
        <f t="shared" ca="1" si="31"/>
        <v>#NUM!</v>
      </c>
    </row>
  </sheetData>
  <mergeCells count="11">
    <mergeCell ref="AH9:AI9"/>
    <mergeCell ref="AJ9:AK9"/>
    <mergeCell ref="B24:K25"/>
    <mergeCell ref="B34:E35"/>
    <mergeCell ref="F34:J35"/>
    <mergeCell ref="I7:K17"/>
    <mergeCell ref="A1:K1"/>
    <mergeCell ref="A2:K2"/>
    <mergeCell ref="B4:C5"/>
    <mergeCell ref="E4:G5"/>
    <mergeCell ref="I4:K5"/>
  </mergeCells>
  <conditionalFormatting sqref="R37:Z46">
    <cfRule type="expression" dxfId="3" priority="1" stopIfTrue="1">
      <formula>ABS(R48-R37)&gt;0.001</formula>
    </cfRule>
  </conditionalFormatting>
  <dataValidations count="1">
    <dataValidation type="list" allowBlank="1" showInputMessage="1" showErrorMessage="1" error="Please enter &quot;1&quot; for a Call option and &quot;-1&quot; for a Put option" sqref="C7" xr:uid="{00000000-0002-0000-0100-000000000000}">
      <formula1>"1,-1"</formula1>
    </dataValidation>
  </dataValidations>
  <hyperlinks>
    <hyperlink ref="C28" r:id="rId1" xr:uid="{00000000-0004-0000-0100-000000000000}"/>
    <hyperlink ref="C29" r:id="rId2" xr:uid="{00000000-0004-0000-0100-000001000000}"/>
    <hyperlink ref="C30" r:id="rId3" xr:uid="{00000000-0004-0000-0100-000002000000}"/>
    <hyperlink ref="C31" r:id="rId4" xr:uid="{00000000-0004-0000-0100-000003000000}"/>
    <hyperlink ref="F28" r:id="rId5" xr:uid="{00000000-0004-0000-0100-000004000000}"/>
    <hyperlink ref="C38" r:id="rId6" xr:uid="{00000000-0004-0000-0100-000005000000}"/>
    <hyperlink ref="C39" r:id="rId7" xr:uid="{00000000-0004-0000-0100-000006000000}"/>
    <hyperlink ref="C40" r:id="rId8" xr:uid="{00000000-0004-0000-0100-000007000000}"/>
    <hyperlink ref="B34" r:id="rId9" xr:uid="{00000000-0004-0000-0100-000008000000}"/>
  </hyperlinks>
  <pageMargins left="0.75" right="0.75" top="1" bottom="1" header="0.5" footer="0.5"/>
  <pageSetup orientation="portrait" r:id="rId10"/>
  <headerFooter alignWithMargins="0"/>
  <drawing r:id="rId1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>
    <tabColor theme="9" tint="0.39997558519241921"/>
  </sheetPr>
  <dimension ref="A1:AL85"/>
  <sheetViews>
    <sheetView showGridLines="0" zoomScaleNormal="100" workbookViewId="0">
      <selection activeCell="AH13" sqref="AH13"/>
    </sheetView>
  </sheetViews>
  <sheetFormatPr defaultRowHeight="12.75" x14ac:dyDescent="0.2"/>
  <cols>
    <col min="1" max="1" width="2.140625" style="1" customWidth="1"/>
    <col min="2" max="2" width="33.85546875" style="1" bestFit="1" customWidth="1"/>
    <col min="3" max="3" width="12.7109375" style="1" customWidth="1"/>
    <col min="4" max="4" width="3.7109375" style="1" customWidth="1"/>
    <col min="5" max="5" width="11.28515625" style="1" customWidth="1"/>
    <col min="6" max="6" width="13.42578125" style="1" customWidth="1"/>
    <col min="7" max="7" width="19.42578125" style="1" customWidth="1"/>
    <col min="8" max="8" width="2.7109375" style="1" customWidth="1"/>
    <col min="9" max="11" width="9.140625" style="79" customWidth="1"/>
    <col min="12" max="12" width="2.7109375" style="79" customWidth="1"/>
    <col min="13" max="13" width="9.140625" style="79" customWidth="1"/>
    <col min="14" max="28" width="9.140625" style="79" hidden="1" customWidth="1"/>
    <col min="29" max="29" width="9.140625" style="1" hidden="1" customWidth="1"/>
    <col min="30" max="30" width="0" style="1" hidden="1" customWidth="1"/>
    <col min="31" max="31" width="11.5703125" style="1" customWidth="1"/>
    <col min="32" max="33" width="9.140625" style="1"/>
    <col min="34" max="34" width="16.5703125" style="1" bestFit="1" customWidth="1"/>
    <col min="35" max="38" width="12.5703125" style="1" bestFit="1" customWidth="1"/>
    <col min="39" max="252" width="9.140625" style="1"/>
    <col min="253" max="253" width="25.7109375" style="1" customWidth="1"/>
    <col min="254" max="508" width="9.140625" style="1"/>
    <col min="509" max="509" width="25.7109375" style="1" customWidth="1"/>
    <col min="510" max="764" width="9.140625" style="1"/>
    <col min="765" max="765" width="25.7109375" style="1" customWidth="1"/>
    <col min="766" max="1020" width="9.140625" style="1"/>
    <col min="1021" max="1021" width="25.7109375" style="1" customWidth="1"/>
    <col min="1022" max="1276" width="9.140625" style="1"/>
    <col min="1277" max="1277" width="25.7109375" style="1" customWidth="1"/>
    <col min="1278" max="1532" width="9.140625" style="1"/>
    <col min="1533" max="1533" width="25.7109375" style="1" customWidth="1"/>
    <col min="1534" max="1788" width="9.140625" style="1"/>
    <col min="1789" max="1789" width="25.7109375" style="1" customWidth="1"/>
    <col min="1790" max="2044" width="9.140625" style="1"/>
    <col min="2045" max="2045" width="25.7109375" style="1" customWidth="1"/>
    <col min="2046" max="2300" width="9.140625" style="1"/>
    <col min="2301" max="2301" width="25.7109375" style="1" customWidth="1"/>
    <col min="2302" max="2556" width="9.140625" style="1"/>
    <col min="2557" max="2557" width="25.7109375" style="1" customWidth="1"/>
    <col min="2558" max="2812" width="9.140625" style="1"/>
    <col min="2813" max="2813" width="25.7109375" style="1" customWidth="1"/>
    <col min="2814" max="3068" width="9.140625" style="1"/>
    <col min="3069" max="3069" width="25.7109375" style="1" customWidth="1"/>
    <col min="3070" max="3324" width="9.140625" style="1"/>
    <col min="3325" max="3325" width="25.7109375" style="1" customWidth="1"/>
    <col min="3326" max="3580" width="9.140625" style="1"/>
    <col min="3581" max="3581" width="25.7109375" style="1" customWidth="1"/>
    <col min="3582" max="3836" width="9.140625" style="1"/>
    <col min="3837" max="3837" width="25.7109375" style="1" customWidth="1"/>
    <col min="3838" max="4092" width="9.140625" style="1"/>
    <col min="4093" max="4093" width="25.7109375" style="1" customWidth="1"/>
    <col min="4094" max="4348" width="9.140625" style="1"/>
    <col min="4349" max="4349" width="25.7109375" style="1" customWidth="1"/>
    <col min="4350" max="4604" width="9.140625" style="1"/>
    <col min="4605" max="4605" width="25.7109375" style="1" customWidth="1"/>
    <col min="4606" max="4860" width="9.140625" style="1"/>
    <col min="4861" max="4861" width="25.7109375" style="1" customWidth="1"/>
    <col min="4862" max="5116" width="9.140625" style="1"/>
    <col min="5117" max="5117" width="25.7109375" style="1" customWidth="1"/>
    <col min="5118" max="5372" width="9.140625" style="1"/>
    <col min="5373" max="5373" width="25.7109375" style="1" customWidth="1"/>
    <col min="5374" max="5628" width="9.140625" style="1"/>
    <col min="5629" max="5629" width="25.7109375" style="1" customWidth="1"/>
    <col min="5630" max="5884" width="9.140625" style="1"/>
    <col min="5885" max="5885" width="25.7109375" style="1" customWidth="1"/>
    <col min="5886" max="6140" width="9.140625" style="1"/>
    <col min="6141" max="6141" width="25.7109375" style="1" customWidth="1"/>
    <col min="6142" max="6396" width="9.140625" style="1"/>
    <col min="6397" max="6397" width="25.7109375" style="1" customWidth="1"/>
    <col min="6398" max="6652" width="9.140625" style="1"/>
    <col min="6653" max="6653" width="25.7109375" style="1" customWidth="1"/>
    <col min="6654" max="6908" width="9.140625" style="1"/>
    <col min="6909" max="6909" width="25.7109375" style="1" customWidth="1"/>
    <col min="6910" max="7164" width="9.140625" style="1"/>
    <col min="7165" max="7165" width="25.7109375" style="1" customWidth="1"/>
    <col min="7166" max="7420" width="9.140625" style="1"/>
    <col min="7421" max="7421" width="25.7109375" style="1" customWidth="1"/>
    <col min="7422" max="7676" width="9.140625" style="1"/>
    <col min="7677" max="7677" width="25.7109375" style="1" customWidth="1"/>
    <col min="7678" max="7932" width="9.140625" style="1"/>
    <col min="7933" max="7933" width="25.7109375" style="1" customWidth="1"/>
    <col min="7934" max="8188" width="9.140625" style="1"/>
    <col min="8189" max="8189" width="25.7109375" style="1" customWidth="1"/>
    <col min="8190" max="8444" width="9.140625" style="1"/>
    <col min="8445" max="8445" width="25.7109375" style="1" customWidth="1"/>
    <col min="8446" max="8700" width="9.140625" style="1"/>
    <col min="8701" max="8701" width="25.7109375" style="1" customWidth="1"/>
    <col min="8702" max="8956" width="9.140625" style="1"/>
    <col min="8957" max="8957" width="25.7109375" style="1" customWidth="1"/>
    <col min="8958" max="9212" width="9.140625" style="1"/>
    <col min="9213" max="9213" width="25.7109375" style="1" customWidth="1"/>
    <col min="9214" max="9468" width="9.140625" style="1"/>
    <col min="9469" max="9469" width="25.7109375" style="1" customWidth="1"/>
    <col min="9470" max="9724" width="9.140625" style="1"/>
    <col min="9725" max="9725" width="25.7109375" style="1" customWidth="1"/>
    <col min="9726" max="9980" width="9.140625" style="1"/>
    <col min="9981" max="9981" width="25.7109375" style="1" customWidth="1"/>
    <col min="9982" max="10236" width="9.140625" style="1"/>
    <col min="10237" max="10237" width="25.7109375" style="1" customWidth="1"/>
    <col min="10238" max="10492" width="9.140625" style="1"/>
    <col min="10493" max="10493" width="25.7109375" style="1" customWidth="1"/>
    <col min="10494" max="10748" width="9.140625" style="1"/>
    <col min="10749" max="10749" width="25.7109375" style="1" customWidth="1"/>
    <col min="10750" max="11004" width="9.140625" style="1"/>
    <col min="11005" max="11005" width="25.7109375" style="1" customWidth="1"/>
    <col min="11006" max="11260" width="9.140625" style="1"/>
    <col min="11261" max="11261" width="25.7109375" style="1" customWidth="1"/>
    <col min="11262" max="11516" width="9.140625" style="1"/>
    <col min="11517" max="11517" width="25.7109375" style="1" customWidth="1"/>
    <col min="11518" max="11772" width="9.140625" style="1"/>
    <col min="11773" max="11773" width="25.7109375" style="1" customWidth="1"/>
    <col min="11774" max="12028" width="9.140625" style="1"/>
    <col min="12029" max="12029" width="25.7109375" style="1" customWidth="1"/>
    <col min="12030" max="12284" width="9.140625" style="1"/>
    <col min="12285" max="12285" width="25.7109375" style="1" customWidth="1"/>
    <col min="12286" max="12540" width="9.140625" style="1"/>
    <col min="12541" max="12541" width="25.7109375" style="1" customWidth="1"/>
    <col min="12542" max="12796" width="9.140625" style="1"/>
    <col min="12797" max="12797" width="25.7109375" style="1" customWidth="1"/>
    <col min="12798" max="13052" width="9.140625" style="1"/>
    <col min="13053" max="13053" width="25.7109375" style="1" customWidth="1"/>
    <col min="13054" max="13308" width="9.140625" style="1"/>
    <col min="13309" max="13309" width="25.7109375" style="1" customWidth="1"/>
    <col min="13310" max="13564" width="9.140625" style="1"/>
    <col min="13565" max="13565" width="25.7109375" style="1" customWidth="1"/>
    <col min="13566" max="13820" width="9.140625" style="1"/>
    <col min="13821" max="13821" width="25.7109375" style="1" customWidth="1"/>
    <col min="13822" max="14076" width="9.140625" style="1"/>
    <col min="14077" max="14077" width="25.7109375" style="1" customWidth="1"/>
    <col min="14078" max="14332" width="9.140625" style="1"/>
    <col min="14333" max="14333" width="25.7109375" style="1" customWidth="1"/>
    <col min="14334" max="14588" width="9.140625" style="1"/>
    <col min="14589" max="14589" width="25.7109375" style="1" customWidth="1"/>
    <col min="14590" max="14844" width="9.140625" style="1"/>
    <col min="14845" max="14845" width="25.7109375" style="1" customWidth="1"/>
    <col min="14846" max="15100" width="9.140625" style="1"/>
    <col min="15101" max="15101" width="25.7109375" style="1" customWidth="1"/>
    <col min="15102" max="15356" width="9.140625" style="1"/>
    <col min="15357" max="15357" width="25.7109375" style="1" customWidth="1"/>
    <col min="15358" max="15612" width="9.140625" style="1"/>
    <col min="15613" max="15613" width="25.7109375" style="1" customWidth="1"/>
    <col min="15614" max="15868" width="9.140625" style="1"/>
    <col min="15869" max="15869" width="25.7109375" style="1" customWidth="1"/>
    <col min="15870" max="16124" width="9.140625" style="1"/>
    <col min="16125" max="16125" width="25.7109375" style="1" customWidth="1"/>
    <col min="16126" max="16384" width="9.140625" style="1"/>
  </cols>
  <sheetData>
    <row r="1" spans="1:38" ht="15.75" x14ac:dyDescent="0.2">
      <c r="A1" s="220" t="s">
        <v>38</v>
      </c>
      <c r="B1" s="220"/>
      <c r="C1" s="220"/>
      <c r="D1" s="220"/>
      <c r="E1" s="220"/>
      <c r="F1" s="220"/>
      <c r="G1" s="220"/>
      <c r="H1" s="62"/>
    </row>
    <row r="2" spans="1:38" ht="15" x14ac:dyDescent="0.25">
      <c r="A2" s="221" t="s">
        <v>71</v>
      </c>
      <c r="B2" s="221"/>
      <c r="C2" s="221"/>
      <c r="D2" s="221"/>
      <c r="E2" s="221"/>
      <c r="F2" s="221"/>
      <c r="G2" s="221"/>
      <c r="H2" s="62"/>
    </row>
    <row r="3" spans="1:38" ht="15.75" thickBot="1" x14ac:dyDescent="0.3">
      <c r="A3" s="10"/>
      <c r="B3" s="11"/>
      <c r="C3" s="11"/>
      <c r="D3" s="12"/>
      <c r="E3" s="10"/>
      <c r="F3" s="11"/>
      <c r="G3" s="11"/>
      <c r="H3" s="62"/>
      <c r="L3" s="80"/>
      <c r="M3" s="81"/>
    </row>
    <row r="4" spans="1:38" ht="15.75" thickBot="1" x14ac:dyDescent="0.3">
      <c r="A4" s="10"/>
      <c r="B4" s="222" t="s">
        <v>39</v>
      </c>
      <c r="C4" s="223"/>
      <c r="D4" s="12"/>
      <c r="E4" s="232" t="s">
        <v>41</v>
      </c>
      <c r="F4" s="233"/>
      <c r="G4" s="234"/>
      <c r="H4" s="62"/>
      <c r="R4" s="79" t="s">
        <v>10</v>
      </c>
      <c r="S4" s="82">
        <f ca="1">T/n</f>
        <v>-11.96958904109589</v>
      </c>
      <c r="AC4" s="79"/>
      <c r="AD4" s="79"/>
      <c r="AE4" s="171" t="s">
        <v>112</v>
      </c>
      <c r="AF4" s="194">
        <f>S</f>
        <v>0</v>
      </c>
      <c r="AG4" s="38"/>
      <c r="AH4" s="38"/>
      <c r="AI4" s="38"/>
      <c r="AJ4" s="38"/>
      <c r="AK4" s="38"/>
      <c r="AL4" s="38"/>
    </row>
    <row r="5" spans="1:38" ht="15.75" thickBot="1" x14ac:dyDescent="0.3">
      <c r="A5" s="10"/>
      <c r="B5" s="224"/>
      <c r="C5" s="225"/>
      <c r="D5" s="12"/>
      <c r="E5" s="235"/>
      <c r="F5" s="236"/>
      <c r="G5" s="237"/>
      <c r="H5" s="62"/>
      <c r="R5" s="79" t="s">
        <v>11</v>
      </c>
      <c r="S5" s="82" t="e">
        <f ca="1">EXP($C$11*SQRT(dt))</f>
        <v>#NUM!</v>
      </c>
      <c r="T5" s="79" t="s">
        <v>12</v>
      </c>
      <c r="AC5" s="79"/>
      <c r="AD5" s="79"/>
      <c r="AE5" s="38"/>
      <c r="AF5" s="38"/>
      <c r="AG5" s="38"/>
      <c r="AH5" s="38"/>
      <c r="AI5" s="38"/>
      <c r="AJ5" s="38"/>
      <c r="AK5" s="38"/>
      <c r="AL5" s="38"/>
    </row>
    <row r="6" spans="1:38" ht="14.25" customHeight="1" thickBot="1" x14ac:dyDescent="0.3">
      <c r="A6" s="61"/>
      <c r="B6" s="62"/>
      <c r="C6" s="62"/>
      <c r="D6" s="62"/>
      <c r="E6" s="62"/>
      <c r="F6" s="62"/>
      <c r="G6" s="62"/>
      <c r="H6" s="62"/>
      <c r="R6" s="79" t="s">
        <v>13</v>
      </c>
      <c r="S6" s="82" t="e">
        <f ca="1">1/u</f>
        <v>#NUM!</v>
      </c>
      <c r="T6" s="79" t="s">
        <v>14</v>
      </c>
      <c r="AC6" s="79"/>
      <c r="AD6" s="79"/>
      <c r="AE6" s="172" t="s">
        <v>104</v>
      </c>
      <c r="AF6" s="173"/>
      <c r="AG6" s="173"/>
      <c r="AH6" s="173"/>
      <c r="AI6" s="238" t="s">
        <v>116</v>
      </c>
      <c r="AJ6" s="239"/>
      <c r="AK6" s="247" t="s">
        <v>115</v>
      </c>
      <c r="AL6" s="239"/>
    </row>
    <row r="7" spans="1:38" ht="12.75" customHeight="1" thickBot="1" x14ac:dyDescent="0.3">
      <c r="A7" s="62"/>
      <c r="B7" s="63" t="s">
        <v>9</v>
      </c>
      <c r="C7" s="75">
        <v>1</v>
      </c>
      <c r="D7" s="69"/>
      <c r="E7" s="248" t="s">
        <v>78</v>
      </c>
      <c r="F7" s="249"/>
      <c r="G7" s="250"/>
      <c r="H7" s="62"/>
      <c r="R7" s="79" t="s">
        <v>16</v>
      </c>
      <c r="S7" s="82" t="e">
        <f ca="1">(EXP(rr*dt)-d)/(u-d)</f>
        <v>#NUM!</v>
      </c>
      <c r="T7" s="79" t="s">
        <v>17</v>
      </c>
      <c r="AC7" s="79"/>
      <c r="AD7" s="79"/>
      <c r="AE7" s="181" t="s">
        <v>111</v>
      </c>
      <c r="AF7" s="173"/>
      <c r="AG7" s="173"/>
      <c r="AH7" s="182" t="s">
        <v>110</v>
      </c>
      <c r="AI7" s="191" t="s">
        <v>113</v>
      </c>
      <c r="AJ7" s="192" t="s">
        <v>114</v>
      </c>
      <c r="AK7" s="191" t="s">
        <v>113</v>
      </c>
      <c r="AL7" s="192" t="s">
        <v>114</v>
      </c>
    </row>
    <row r="8" spans="1:38" ht="12.75" customHeight="1" x14ac:dyDescent="0.25">
      <c r="A8" s="62"/>
      <c r="B8" s="130" t="s">
        <v>37</v>
      </c>
      <c r="C8" s="76"/>
      <c r="D8" s="69"/>
      <c r="E8" s="251"/>
      <c r="F8" s="252"/>
      <c r="G8" s="253"/>
      <c r="H8" s="62"/>
      <c r="R8" s="79" t="s">
        <v>19</v>
      </c>
      <c r="S8" s="82">
        <f ca="1">EXP(-rr*dt)</f>
        <v>1</v>
      </c>
      <c r="T8" s="83" t="s">
        <v>20</v>
      </c>
      <c r="AC8" s="79"/>
      <c r="AD8" s="79"/>
      <c r="AE8" s="179" t="s">
        <v>105</v>
      </c>
      <c r="AF8" s="173"/>
      <c r="AG8" s="173"/>
      <c r="AH8" s="180">
        <f>C11</f>
        <v>0.1</v>
      </c>
      <c r="AI8" s="186">
        <f>$AF$4*(1-AH8)</f>
        <v>0</v>
      </c>
      <c r="AJ8" s="187">
        <f>$AF$4*(1+AH8)</f>
        <v>0</v>
      </c>
      <c r="AK8" s="186">
        <f>$AF$4*(1-2*AH8)</f>
        <v>0</v>
      </c>
      <c r="AL8" s="187">
        <f>$AF$4*(1+2*AH8)</f>
        <v>0</v>
      </c>
    </row>
    <row r="9" spans="1:38" ht="12.75" customHeight="1" x14ac:dyDescent="0.25">
      <c r="A9" s="62"/>
      <c r="B9" s="130" t="s">
        <v>36</v>
      </c>
      <c r="C9" s="76"/>
      <c r="D9" s="69"/>
      <c r="E9" s="251"/>
      <c r="F9" s="252"/>
      <c r="G9" s="253"/>
      <c r="H9" s="68"/>
      <c r="I9" s="84"/>
      <c r="J9" s="84"/>
      <c r="K9" s="84"/>
      <c r="AE9" s="174" t="s">
        <v>106</v>
      </c>
      <c r="AF9" s="5"/>
      <c r="AG9" s="5"/>
      <c r="AH9" s="175">
        <f>AH8*SQRT(1/12)</f>
        <v>2.8867513459481287E-2</v>
      </c>
      <c r="AI9" s="186">
        <f t="shared" ref="AI9:AI12" si="0">$AF$4*(1-AH9)</f>
        <v>0</v>
      </c>
      <c r="AJ9" s="187">
        <f t="shared" ref="AJ9:AJ12" si="1">$AF$4*(1+AH9)</f>
        <v>0</v>
      </c>
      <c r="AK9" s="186">
        <f t="shared" ref="AK9:AK12" si="2">$AF$4*(1-2*AH9)</f>
        <v>0</v>
      </c>
      <c r="AL9" s="187">
        <f t="shared" ref="AL9:AL12" si="3">$AF$4*(1+2*AH9)</f>
        <v>0</v>
      </c>
    </row>
    <row r="10" spans="1:38" ht="12.75" customHeight="1" x14ac:dyDescent="0.25">
      <c r="A10" s="62"/>
      <c r="B10" s="130" t="s">
        <v>15</v>
      </c>
      <c r="C10" s="77"/>
      <c r="D10" s="69"/>
      <c r="E10" s="251"/>
      <c r="F10" s="252"/>
      <c r="G10" s="253"/>
      <c r="H10" s="68"/>
      <c r="I10" s="84"/>
      <c r="J10" s="84"/>
      <c r="K10" s="84"/>
      <c r="AE10" s="174" t="s">
        <v>107</v>
      </c>
      <c r="AF10" s="5"/>
      <c r="AG10" s="5"/>
      <c r="AH10" s="175">
        <f>AH8*SQRT(1/52)</f>
        <v>1.3867504905630729E-2</v>
      </c>
      <c r="AI10" s="186">
        <f t="shared" si="0"/>
        <v>0</v>
      </c>
      <c r="AJ10" s="187">
        <f t="shared" si="1"/>
        <v>0</v>
      </c>
      <c r="AK10" s="186">
        <f t="shared" si="2"/>
        <v>0</v>
      </c>
      <c r="AL10" s="187">
        <f t="shared" si="3"/>
        <v>0</v>
      </c>
    </row>
    <row r="11" spans="1:38" ht="12.75" customHeight="1" x14ac:dyDescent="0.25">
      <c r="A11" s="62"/>
      <c r="B11" s="130" t="s">
        <v>18</v>
      </c>
      <c r="C11" s="95">
        <v>0.1</v>
      </c>
      <c r="D11" s="69"/>
      <c r="E11" s="251"/>
      <c r="F11" s="252"/>
      <c r="G11" s="253"/>
      <c r="H11" s="68"/>
      <c r="I11" s="84"/>
      <c r="J11" s="84"/>
      <c r="K11" s="84"/>
      <c r="AE11" s="174" t="s">
        <v>108</v>
      </c>
      <c r="AF11" s="5"/>
      <c r="AG11" s="5"/>
      <c r="AH11" s="175">
        <f>AH8*SQRT(1/365)</f>
        <v>5.2342392259021372E-3</v>
      </c>
      <c r="AI11" s="186">
        <f t="shared" si="0"/>
        <v>0</v>
      </c>
      <c r="AJ11" s="187">
        <f t="shared" si="1"/>
        <v>0</v>
      </c>
      <c r="AK11" s="186">
        <f t="shared" si="2"/>
        <v>0</v>
      </c>
      <c r="AL11" s="187">
        <f t="shared" si="3"/>
        <v>0</v>
      </c>
    </row>
    <row r="12" spans="1:38" ht="12.75" customHeight="1" thickBot="1" x14ac:dyDescent="0.3">
      <c r="A12" s="62"/>
      <c r="B12" s="130" t="s">
        <v>1</v>
      </c>
      <c r="C12" s="98"/>
      <c r="D12" s="69"/>
      <c r="E12" s="251"/>
      <c r="F12" s="252"/>
      <c r="G12" s="253"/>
      <c r="H12" s="68"/>
      <c r="I12" s="84"/>
      <c r="J12" s="84"/>
      <c r="K12" s="84"/>
      <c r="AE12" s="176" t="s">
        <v>109</v>
      </c>
      <c r="AF12" s="177"/>
      <c r="AG12" s="177"/>
      <c r="AH12" s="178" t="e">
        <f ca="1">AH8*SQRT(T)</f>
        <v>#NUM!</v>
      </c>
      <c r="AI12" s="188" t="e">
        <f t="shared" ca="1" si="0"/>
        <v>#NUM!</v>
      </c>
      <c r="AJ12" s="189" t="e">
        <f t="shared" ca="1" si="1"/>
        <v>#NUM!</v>
      </c>
      <c r="AK12" s="188" t="e">
        <f t="shared" ca="1" si="2"/>
        <v>#NUM!</v>
      </c>
      <c r="AL12" s="189" t="e">
        <f t="shared" ca="1" si="3"/>
        <v>#NUM!</v>
      </c>
    </row>
    <row r="13" spans="1:38" ht="12.75" customHeight="1" x14ac:dyDescent="0.2">
      <c r="A13" s="62"/>
      <c r="B13" s="64" t="s">
        <v>21</v>
      </c>
      <c r="C13" s="65">
        <f ca="1">(C12-TODAY())/365</f>
        <v>-119.69589041095891</v>
      </c>
      <c r="D13" s="70"/>
      <c r="E13" s="251"/>
      <c r="F13" s="252"/>
      <c r="G13" s="253"/>
      <c r="H13" s="68"/>
      <c r="I13" s="84"/>
      <c r="J13" s="84"/>
    </row>
    <row r="14" spans="1:38" ht="12.75" customHeight="1" x14ac:dyDescent="0.2">
      <c r="A14" s="62"/>
      <c r="B14" s="64" t="s">
        <v>22</v>
      </c>
      <c r="C14" s="66">
        <v>10</v>
      </c>
      <c r="D14" s="71"/>
      <c r="E14" s="251"/>
      <c r="F14" s="252"/>
      <c r="G14" s="253"/>
      <c r="H14" s="68"/>
      <c r="I14" s="84"/>
      <c r="J14" s="84"/>
      <c r="K14" s="84"/>
    </row>
    <row r="15" spans="1:38" ht="12.75" customHeight="1" x14ac:dyDescent="0.2">
      <c r="A15" s="62"/>
      <c r="B15" s="130" t="s">
        <v>23</v>
      </c>
      <c r="C15" s="76"/>
      <c r="D15" s="69"/>
      <c r="E15" s="251"/>
      <c r="F15" s="252"/>
      <c r="G15" s="253"/>
      <c r="H15" s="68"/>
      <c r="I15" s="84"/>
      <c r="J15" s="84"/>
      <c r="K15" s="84"/>
    </row>
    <row r="16" spans="1:38" ht="12.75" customHeight="1" x14ac:dyDescent="0.2">
      <c r="A16" s="62"/>
      <c r="B16" s="130" t="s">
        <v>68</v>
      </c>
      <c r="C16" s="98"/>
      <c r="D16" s="69"/>
      <c r="E16" s="251"/>
      <c r="F16" s="252"/>
      <c r="G16" s="253"/>
      <c r="H16" s="68"/>
      <c r="I16" s="84"/>
      <c r="J16" s="84"/>
      <c r="K16" s="84"/>
    </row>
    <row r="17" spans="1:28" ht="12.75" customHeight="1" x14ac:dyDescent="0.2">
      <c r="A17" s="62"/>
      <c r="B17" s="64" t="s">
        <v>24</v>
      </c>
      <c r="C17" s="65">
        <f ca="1">(C16-TODAY())/365</f>
        <v>-119.69589041095891</v>
      </c>
      <c r="D17" s="69"/>
      <c r="E17" s="251"/>
      <c r="F17" s="252"/>
      <c r="G17" s="253"/>
      <c r="H17" s="68"/>
      <c r="I17" s="84"/>
      <c r="J17" s="84"/>
    </row>
    <row r="18" spans="1:28" ht="12.75" customHeight="1" x14ac:dyDescent="0.2">
      <c r="A18" s="62"/>
      <c r="B18" s="164" t="s">
        <v>35</v>
      </c>
      <c r="C18" s="93">
        <v>3</v>
      </c>
      <c r="D18" s="69"/>
      <c r="E18" s="251"/>
      <c r="F18" s="252"/>
      <c r="G18" s="253"/>
      <c r="H18" s="68"/>
      <c r="I18" s="84"/>
      <c r="J18" s="84"/>
      <c r="K18" s="84"/>
      <c r="U18" s="85"/>
      <c r="V18" s="85"/>
    </row>
    <row r="19" spans="1:28" ht="15" customHeight="1" x14ac:dyDescent="0.2">
      <c r="A19" s="62"/>
      <c r="B19" s="67" t="s">
        <v>73</v>
      </c>
      <c r="C19" s="99" t="s">
        <v>75</v>
      </c>
      <c r="D19" s="69"/>
      <c r="E19" s="254"/>
      <c r="F19" s="255"/>
      <c r="G19" s="256"/>
      <c r="H19" s="68"/>
      <c r="I19" s="84"/>
      <c r="J19" s="84"/>
      <c r="K19" s="84"/>
      <c r="U19" s="85"/>
      <c r="V19" s="85"/>
    </row>
    <row r="20" spans="1:28" x14ac:dyDescent="0.2">
      <c r="A20" s="62"/>
      <c r="B20" s="72" t="s">
        <v>65</v>
      </c>
      <c r="C20" s="73" t="e">
        <f ca="1">IF(C19="European",(C18-C22)^2,(C18-C21)^2)</f>
        <v>#NUM!</v>
      </c>
      <c r="D20" s="62"/>
      <c r="H20" s="62"/>
    </row>
    <row r="21" spans="1:28" x14ac:dyDescent="0.2">
      <c r="A21" s="62"/>
      <c r="B21" s="165" t="str">
        <f>Q61</f>
        <v>American call price (Model)</v>
      </c>
      <c r="C21" s="74" t="e">
        <f ca="1">R61</f>
        <v>#NUM!</v>
      </c>
      <c r="D21" s="62"/>
      <c r="H21" s="62"/>
      <c r="T21" s="86"/>
      <c r="U21" s="86"/>
    </row>
    <row r="22" spans="1:28" x14ac:dyDescent="0.2">
      <c r="A22" s="62"/>
      <c r="B22" s="165" t="s">
        <v>72</v>
      </c>
      <c r="C22" s="74" t="e">
        <f ca="1">R75</f>
        <v>#NUM!</v>
      </c>
      <c r="D22" s="62"/>
      <c r="H22" s="62"/>
      <c r="T22" s="86"/>
      <c r="U22" s="86"/>
    </row>
    <row r="23" spans="1:28" x14ac:dyDescent="0.2">
      <c r="A23" s="62"/>
      <c r="B23" s="62"/>
      <c r="C23" s="62"/>
      <c r="D23" s="62"/>
      <c r="E23" s="62"/>
      <c r="F23" s="62"/>
      <c r="G23" s="62"/>
      <c r="H23" s="62"/>
      <c r="T23" s="86"/>
      <c r="U23" s="86"/>
    </row>
    <row r="24" spans="1:28" x14ac:dyDescent="0.2">
      <c r="L24" s="96"/>
      <c r="M24" s="97"/>
      <c r="N24" s="97"/>
      <c r="O24" s="97"/>
      <c r="P24" s="97"/>
      <c r="Z24" s="86"/>
      <c r="AA24" s="86"/>
    </row>
    <row r="25" spans="1:28" x14ac:dyDescent="0.2">
      <c r="L25" s="97"/>
      <c r="M25" s="97"/>
      <c r="N25" s="97"/>
      <c r="O25" s="97"/>
      <c r="P25" s="97"/>
      <c r="Y25" s="85"/>
      <c r="Z25" s="86"/>
      <c r="AA25" s="86"/>
    </row>
    <row r="26" spans="1:28" ht="15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97"/>
      <c r="N26" s="97"/>
      <c r="O26" s="97"/>
      <c r="P26" s="97"/>
      <c r="Y26" s="87"/>
      <c r="Z26" s="86"/>
      <c r="AA26" s="86"/>
    </row>
    <row r="27" spans="1:28" ht="15" x14ac:dyDescent="0.25">
      <c r="A27" s="10"/>
      <c r="B27" s="240" t="s">
        <v>97</v>
      </c>
      <c r="C27" s="241"/>
      <c r="D27" s="241"/>
      <c r="E27" s="241"/>
      <c r="F27" s="241"/>
      <c r="G27" s="241"/>
      <c r="H27" s="241"/>
      <c r="I27" s="241"/>
      <c r="J27" s="241"/>
      <c r="K27" s="242"/>
      <c r="L27" s="10"/>
      <c r="Z27" s="86"/>
      <c r="AA27" s="86"/>
    </row>
    <row r="28" spans="1:28" ht="15" x14ac:dyDescent="0.25">
      <c r="A28" s="10"/>
      <c r="B28" s="243"/>
      <c r="C28" s="244"/>
      <c r="D28" s="244"/>
      <c r="E28" s="244"/>
      <c r="F28" s="244"/>
      <c r="G28" s="244"/>
      <c r="H28" s="244"/>
      <c r="I28" s="244"/>
      <c r="J28" s="244"/>
      <c r="K28" s="245"/>
      <c r="L28" s="10"/>
      <c r="Q28" s="88" t="s">
        <v>25</v>
      </c>
      <c r="R28" s="85">
        <v>0</v>
      </c>
      <c r="S28" s="85">
        <v>1</v>
      </c>
      <c r="T28" s="85">
        <v>2</v>
      </c>
      <c r="U28" s="85">
        <v>3</v>
      </c>
      <c r="V28" s="85">
        <v>4</v>
      </c>
      <c r="W28" s="85">
        <v>5</v>
      </c>
      <c r="X28" s="85">
        <v>6</v>
      </c>
      <c r="Y28" s="85">
        <v>7</v>
      </c>
      <c r="Z28" s="85">
        <v>8</v>
      </c>
      <c r="AA28" s="85">
        <v>9</v>
      </c>
      <c r="AB28" s="85">
        <v>10</v>
      </c>
    </row>
    <row r="29" spans="1:28" ht="15" x14ac:dyDescent="0.25">
      <c r="A29" s="10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0"/>
      <c r="Q29" s="88" t="s">
        <v>26</v>
      </c>
      <c r="R29" s="87">
        <f t="shared" ref="R29:AB29" ca="1" si="4">R28*dt</f>
        <v>0</v>
      </c>
      <c r="S29" s="87">
        <f t="shared" ca="1" si="4"/>
        <v>-11.96958904109589</v>
      </c>
      <c r="T29" s="87">
        <f t="shared" ca="1" si="4"/>
        <v>-23.939178082191781</v>
      </c>
      <c r="U29" s="87">
        <f t="shared" ca="1" si="4"/>
        <v>-35.908767123287674</v>
      </c>
      <c r="V29" s="87">
        <f t="shared" ca="1" si="4"/>
        <v>-47.878356164383561</v>
      </c>
      <c r="W29" s="87">
        <f t="shared" ca="1" si="4"/>
        <v>-59.847945205479448</v>
      </c>
      <c r="X29" s="87">
        <f t="shared" ca="1" si="4"/>
        <v>-71.817534246575349</v>
      </c>
      <c r="Y29" s="87">
        <f t="shared" ca="1" si="4"/>
        <v>-83.787123287671236</v>
      </c>
      <c r="Z29" s="87">
        <f t="shared" ca="1" si="4"/>
        <v>-95.756712328767122</v>
      </c>
      <c r="AA29" s="87">
        <f t="shared" ca="1" si="4"/>
        <v>-107.72630136986301</v>
      </c>
      <c r="AB29" s="87">
        <f t="shared" ca="1" si="4"/>
        <v>-119.6958904109589</v>
      </c>
    </row>
    <row r="30" spans="1:28" ht="15" x14ac:dyDescent="0.25">
      <c r="A30" s="10"/>
      <c r="B30" s="124" t="s">
        <v>89</v>
      </c>
      <c r="C30" s="125"/>
      <c r="D30" s="125"/>
      <c r="E30" s="125"/>
      <c r="F30" s="125"/>
      <c r="G30" s="125"/>
      <c r="H30" s="125"/>
      <c r="I30" s="125"/>
      <c r="J30" s="125"/>
      <c r="K30" s="126"/>
      <c r="L30" s="10"/>
      <c r="Q30" s="89"/>
      <c r="Y30" s="86"/>
      <c r="Z30" s="86"/>
      <c r="AA30" s="86"/>
    </row>
    <row r="31" spans="1:28" ht="15" x14ac:dyDescent="0.25">
      <c r="A31" s="10"/>
      <c r="B31" s="114" t="s">
        <v>79</v>
      </c>
      <c r="C31" s="104" t="s">
        <v>80</v>
      </c>
      <c r="D31" s="105"/>
      <c r="E31" s="105"/>
      <c r="F31" s="104" t="s">
        <v>81</v>
      </c>
      <c r="G31" s="103"/>
      <c r="H31" s="103"/>
      <c r="I31" s="103"/>
      <c r="J31" s="103"/>
      <c r="K31" s="113"/>
      <c r="L31" s="10"/>
      <c r="Q31" s="88" t="s">
        <v>27</v>
      </c>
      <c r="R31" s="86">
        <f ca="1">(S-div*EXP(-rr*exdiv))</f>
        <v>0</v>
      </c>
      <c r="S31" s="86" t="e">
        <f t="shared" ref="S31:AB31" ca="1" si="5">R31*u</f>
        <v>#NUM!</v>
      </c>
      <c r="T31" s="86" t="e">
        <f t="shared" ca="1" si="5"/>
        <v>#NUM!</v>
      </c>
      <c r="U31" s="86" t="e">
        <f t="shared" ca="1" si="5"/>
        <v>#NUM!</v>
      </c>
      <c r="V31" s="86" t="e">
        <f t="shared" ca="1" si="5"/>
        <v>#NUM!</v>
      </c>
      <c r="W31" s="86" t="e">
        <f t="shared" ca="1" si="5"/>
        <v>#NUM!</v>
      </c>
      <c r="X31" s="86" t="e">
        <f t="shared" ca="1" si="5"/>
        <v>#NUM!</v>
      </c>
      <c r="Y31" s="86" t="e">
        <f t="shared" ca="1" si="5"/>
        <v>#NUM!</v>
      </c>
      <c r="Z31" s="86" t="e">
        <f t="shared" ca="1" si="5"/>
        <v>#NUM!</v>
      </c>
      <c r="AA31" s="86" t="e">
        <f t="shared" ca="1" si="5"/>
        <v>#NUM!</v>
      </c>
      <c r="AB31" s="86" t="e">
        <f t="shared" ca="1" si="5"/>
        <v>#NUM!</v>
      </c>
    </row>
    <row r="32" spans="1:28" ht="15" x14ac:dyDescent="0.25">
      <c r="A32" s="10"/>
      <c r="B32" s="115" t="s">
        <v>82</v>
      </c>
      <c r="C32" s="106" t="s">
        <v>83</v>
      </c>
      <c r="D32" s="106"/>
      <c r="E32" s="106"/>
      <c r="F32" s="104" t="s">
        <v>84</v>
      </c>
      <c r="G32" s="103"/>
      <c r="H32" s="103"/>
      <c r="I32" s="103"/>
      <c r="J32" s="103"/>
      <c r="K32" s="113"/>
      <c r="L32" s="10"/>
      <c r="Q32" s="89"/>
      <c r="R32" s="86"/>
      <c r="S32" s="86" t="e">
        <f t="shared" ref="S32:X37" ca="1" si="6">IF(ROW() -ROW($R$31)&gt;S$28,"",S31*d/u)</f>
        <v>#NUM!</v>
      </c>
      <c r="T32" s="86" t="e">
        <f t="shared" ca="1" si="6"/>
        <v>#NUM!</v>
      </c>
      <c r="U32" s="86" t="e">
        <f t="shared" ca="1" si="6"/>
        <v>#NUM!</v>
      </c>
      <c r="V32" s="86" t="e">
        <f t="shared" ca="1" si="6"/>
        <v>#NUM!</v>
      </c>
      <c r="W32" s="86" t="e">
        <f t="shared" ca="1" si="6"/>
        <v>#NUM!</v>
      </c>
      <c r="X32" s="86" t="e">
        <f t="shared" ca="1" si="6"/>
        <v>#NUM!</v>
      </c>
      <c r="Y32" s="86" t="e">
        <f t="shared" ref="Y32:Y38" ca="1" si="7">IF(ROW() -ROW($R$31)&gt;Y$28,"",Y31*d/u)</f>
        <v>#NUM!</v>
      </c>
      <c r="Z32" s="86" t="e">
        <f t="shared" ref="Z32:Z39" ca="1" si="8">IF(ROW() -ROW($R$31)&gt;Z$28,"",Z31*d/u)</f>
        <v>#NUM!</v>
      </c>
      <c r="AA32" s="86" t="e">
        <f t="shared" ref="AA32:AA40" ca="1" si="9">IF(ROW() -ROW($R$31)&gt;AA$28,"",AA31*d/u)</f>
        <v>#NUM!</v>
      </c>
      <c r="AB32" s="86" t="e">
        <f t="shared" ref="AB32:AB41" ca="1" si="10">IF(ROW() -ROW($R$31)&gt;AB$28,"",AB31*d/u)</f>
        <v>#NUM!</v>
      </c>
    </row>
    <row r="33" spans="1:28" ht="15" x14ac:dyDescent="0.25">
      <c r="A33" s="10"/>
      <c r="B33" s="115" t="s">
        <v>85</v>
      </c>
      <c r="C33" s="106" t="s">
        <v>86</v>
      </c>
      <c r="D33" s="106"/>
      <c r="E33" s="106"/>
      <c r="F33" s="105"/>
      <c r="G33" s="103"/>
      <c r="H33" s="103"/>
      <c r="I33" s="103"/>
      <c r="J33" s="103"/>
      <c r="K33" s="113"/>
      <c r="L33" s="10"/>
      <c r="Q33" s="89"/>
      <c r="R33" s="86"/>
      <c r="S33" s="86" t="str">
        <f t="shared" si="6"/>
        <v/>
      </c>
      <c r="T33" s="86" t="e">
        <f t="shared" ca="1" si="6"/>
        <v>#NUM!</v>
      </c>
      <c r="U33" s="86" t="e">
        <f t="shared" ca="1" si="6"/>
        <v>#NUM!</v>
      </c>
      <c r="V33" s="86" t="e">
        <f t="shared" ca="1" si="6"/>
        <v>#NUM!</v>
      </c>
      <c r="W33" s="86" t="e">
        <f t="shared" ca="1" si="6"/>
        <v>#NUM!</v>
      </c>
      <c r="X33" s="86" t="e">
        <f t="shared" ca="1" si="6"/>
        <v>#NUM!</v>
      </c>
      <c r="Y33" s="86" t="e">
        <f t="shared" ca="1" si="7"/>
        <v>#NUM!</v>
      </c>
      <c r="Z33" s="86" t="e">
        <f t="shared" ca="1" si="8"/>
        <v>#NUM!</v>
      </c>
      <c r="AA33" s="86" t="e">
        <f t="shared" ca="1" si="9"/>
        <v>#NUM!</v>
      </c>
      <c r="AB33" s="86" t="e">
        <f t="shared" ca="1" si="10"/>
        <v>#NUM!</v>
      </c>
    </row>
    <row r="34" spans="1:28" ht="15" x14ac:dyDescent="0.25">
      <c r="A34" s="10"/>
      <c r="B34" s="115" t="s">
        <v>87</v>
      </c>
      <c r="C34" s="107" t="s">
        <v>88</v>
      </c>
      <c r="D34" s="106"/>
      <c r="E34" s="106"/>
      <c r="F34" s="105"/>
      <c r="G34" s="103"/>
      <c r="H34" s="103"/>
      <c r="I34" s="103"/>
      <c r="J34" s="103"/>
      <c r="K34" s="113"/>
      <c r="L34" s="10"/>
      <c r="Q34" s="89"/>
      <c r="R34" s="86"/>
      <c r="S34" s="86" t="str">
        <f t="shared" si="6"/>
        <v/>
      </c>
      <c r="T34" s="86" t="str">
        <f t="shared" si="6"/>
        <v/>
      </c>
      <c r="U34" s="86" t="e">
        <f t="shared" ca="1" si="6"/>
        <v>#NUM!</v>
      </c>
      <c r="V34" s="86" t="e">
        <f t="shared" ca="1" si="6"/>
        <v>#NUM!</v>
      </c>
      <c r="W34" s="86" t="e">
        <f t="shared" ca="1" si="6"/>
        <v>#NUM!</v>
      </c>
      <c r="X34" s="86" t="e">
        <f t="shared" ca="1" si="6"/>
        <v>#NUM!</v>
      </c>
      <c r="Y34" s="86" t="e">
        <f t="shared" ca="1" si="7"/>
        <v>#NUM!</v>
      </c>
      <c r="Z34" s="86" t="e">
        <f t="shared" ca="1" si="8"/>
        <v>#NUM!</v>
      </c>
      <c r="AA34" s="86" t="e">
        <f t="shared" ca="1" si="9"/>
        <v>#NUM!</v>
      </c>
      <c r="AB34" s="86" t="e">
        <f t="shared" ca="1" si="10"/>
        <v>#NUM!</v>
      </c>
    </row>
    <row r="35" spans="1:28" ht="15" x14ac:dyDescent="0.25">
      <c r="A35" s="10"/>
      <c r="B35" s="116"/>
      <c r="C35" s="103"/>
      <c r="D35" s="103"/>
      <c r="E35" s="103"/>
      <c r="F35" s="103"/>
      <c r="G35" s="103"/>
      <c r="H35" s="103"/>
      <c r="I35" s="103"/>
      <c r="J35" s="103"/>
      <c r="K35" s="113"/>
      <c r="L35" s="10"/>
      <c r="Q35" s="89"/>
      <c r="R35" s="86"/>
      <c r="S35" s="86" t="str">
        <f t="shared" si="6"/>
        <v/>
      </c>
      <c r="T35" s="86" t="str">
        <f t="shared" si="6"/>
        <v/>
      </c>
      <c r="U35" s="86" t="str">
        <f t="shared" si="6"/>
        <v/>
      </c>
      <c r="V35" s="86" t="e">
        <f t="shared" ca="1" si="6"/>
        <v>#NUM!</v>
      </c>
      <c r="W35" s="86" t="e">
        <f t="shared" ca="1" si="6"/>
        <v>#NUM!</v>
      </c>
      <c r="X35" s="86" t="e">
        <f t="shared" ca="1" si="6"/>
        <v>#NUM!</v>
      </c>
      <c r="Y35" s="86" t="e">
        <f t="shared" ca="1" si="7"/>
        <v>#NUM!</v>
      </c>
      <c r="Z35" s="86" t="e">
        <f t="shared" ca="1" si="8"/>
        <v>#NUM!</v>
      </c>
      <c r="AA35" s="86" t="e">
        <f t="shared" ca="1" si="9"/>
        <v>#NUM!</v>
      </c>
      <c r="AB35" s="86" t="e">
        <f t="shared" ca="1" si="10"/>
        <v>#NUM!</v>
      </c>
    </row>
    <row r="36" spans="1:28" ht="15" x14ac:dyDescent="0.25">
      <c r="A36" s="10"/>
      <c r="B36" s="102" t="s">
        <v>90</v>
      </c>
      <c r="C36" s="103"/>
      <c r="D36" s="103"/>
      <c r="E36" s="103"/>
      <c r="F36" s="103"/>
      <c r="G36" s="103"/>
      <c r="H36" s="103"/>
      <c r="I36" s="103"/>
      <c r="J36" s="103"/>
      <c r="K36" s="113"/>
      <c r="L36" s="10"/>
      <c r="Q36" s="89"/>
      <c r="R36" s="86"/>
      <c r="S36" s="86" t="str">
        <f t="shared" si="6"/>
        <v/>
      </c>
      <c r="T36" s="86" t="str">
        <f t="shared" si="6"/>
        <v/>
      </c>
      <c r="U36" s="86" t="str">
        <f t="shared" si="6"/>
        <v/>
      </c>
      <c r="V36" s="86" t="str">
        <f t="shared" si="6"/>
        <v/>
      </c>
      <c r="W36" s="86" t="e">
        <f t="shared" ca="1" si="6"/>
        <v>#NUM!</v>
      </c>
      <c r="X36" s="86" t="e">
        <f t="shared" ca="1" si="6"/>
        <v>#NUM!</v>
      </c>
      <c r="Y36" s="86" t="e">
        <f t="shared" ca="1" si="7"/>
        <v>#NUM!</v>
      </c>
      <c r="Z36" s="86" t="e">
        <f t="shared" ca="1" si="8"/>
        <v>#NUM!</v>
      </c>
      <c r="AA36" s="86" t="e">
        <f t="shared" ca="1" si="9"/>
        <v>#NUM!</v>
      </c>
      <c r="AB36" s="86" t="e">
        <f t="shared" ca="1" si="10"/>
        <v>#NUM!</v>
      </c>
    </row>
    <row r="37" spans="1:28" ht="15" customHeight="1" x14ac:dyDescent="0.25">
      <c r="A37" s="10"/>
      <c r="B37" s="196" t="s">
        <v>91</v>
      </c>
      <c r="C37" s="197"/>
      <c r="D37" s="197"/>
      <c r="E37" s="197"/>
      <c r="F37" s="246" t="s">
        <v>92</v>
      </c>
      <c r="G37" s="246"/>
      <c r="H37" s="246"/>
      <c r="I37" s="246"/>
      <c r="J37" s="246"/>
      <c r="K37" s="110"/>
      <c r="L37" s="10"/>
      <c r="Q37" s="89"/>
      <c r="R37" s="86"/>
      <c r="S37" s="86"/>
      <c r="T37" s="86"/>
      <c r="U37" s="86"/>
      <c r="V37" s="86"/>
      <c r="W37" s="86"/>
      <c r="X37" s="86" t="e">
        <f t="shared" ca="1" si="6"/>
        <v>#NUM!</v>
      </c>
      <c r="Y37" s="86" t="e">
        <f t="shared" ca="1" si="7"/>
        <v>#NUM!</v>
      </c>
      <c r="Z37" s="86" t="e">
        <f t="shared" ca="1" si="8"/>
        <v>#NUM!</v>
      </c>
      <c r="AA37" s="86" t="e">
        <f t="shared" ca="1" si="9"/>
        <v>#NUM!</v>
      </c>
      <c r="AB37" s="86" t="e">
        <f t="shared" ca="1" si="10"/>
        <v>#NUM!</v>
      </c>
    </row>
    <row r="38" spans="1:28" ht="15" x14ac:dyDescent="0.25">
      <c r="A38" s="10"/>
      <c r="B38" s="196"/>
      <c r="C38" s="197"/>
      <c r="D38" s="197"/>
      <c r="E38" s="197"/>
      <c r="F38" s="246"/>
      <c r="G38" s="246"/>
      <c r="H38" s="246"/>
      <c r="I38" s="246"/>
      <c r="J38" s="246"/>
      <c r="K38" s="110"/>
      <c r="L38" s="123"/>
      <c r="Q38" s="89"/>
      <c r="R38" s="86"/>
      <c r="S38" s="86"/>
      <c r="T38" s="86"/>
      <c r="U38" s="86"/>
      <c r="V38" s="86"/>
      <c r="W38" s="86"/>
      <c r="X38" s="86"/>
      <c r="Y38" s="86" t="e">
        <f t="shared" ca="1" si="7"/>
        <v>#NUM!</v>
      </c>
      <c r="Z38" s="86" t="e">
        <f t="shared" ca="1" si="8"/>
        <v>#NUM!</v>
      </c>
      <c r="AA38" s="86" t="e">
        <f t="shared" ca="1" si="9"/>
        <v>#NUM!</v>
      </c>
      <c r="AB38" s="86" t="e">
        <f t="shared" ca="1" si="10"/>
        <v>#NUM!</v>
      </c>
    </row>
    <row r="39" spans="1:28" ht="15" x14ac:dyDescent="0.25">
      <c r="A39" s="10"/>
      <c r="B39" s="117"/>
      <c r="C39" s="108"/>
      <c r="D39" s="108"/>
      <c r="E39" s="108"/>
      <c r="F39" s="108"/>
      <c r="G39" s="109"/>
      <c r="H39" s="109"/>
      <c r="I39" s="109"/>
      <c r="J39" s="108"/>
      <c r="K39" s="118"/>
      <c r="L39" s="123"/>
      <c r="Q39" s="89"/>
      <c r="R39" s="86"/>
      <c r="S39" s="86"/>
      <c r="T39" s="86"/>
      <c r="U39" s="86"/>
      <c r="V39" s="86"/>
      <c r="W39" s="86"/>
      <c r="X39" s="86"/>
      <c r="Y39" s="86"/>
      <c r="Z39" s="86" t="e">
        <f t="shared" ca="1" si="8"/>
        <v>#NUM!</v>
      </c>
      <c r="AA39" s="86" t="e">
        <f t="shared" ca="1" si="9"/>
        <v>#NUM!</v>
      </c>
      <c r="AB39" s="86" t="e">
        <f t="shared" ca="1" si="10"/>
        <v>#NUM!</v>
      </c>
    </row>
    <row r="40" spans="1:28" ht="15" x14ac:dyDescent="0.25">
      <c r="A40" s="10"/>
      <c r="B40" s="102" t="s">
        <v>93</v>
      </c>
      <c r="C40" s="103"/>
      <c r="D40" s="103"/>
      <c r="E40" s="103"/>
      <c r="F40" s="103"/>
      <c r="G40" s="103"/>
      <c r="H40" s="103"/>
      <c r="I40" s="103"/>
      <c r="J40" s="108"/>
      <c r="K40" s="118"/>
      <c r="L40" s="123"/>
      <c r="Q40" s="89"/>
      <c r="R40" s="86"/>
      <c r="S40" s="86"/>
      <c r="T40" s="86"/>
      <c r="U40" s="86"/>
      <c r="V40" s="86"/>
      <c r="W40" s="86"/>
      <c r="X40" s="86"/>
      <c r="Y40" s="86"/>
      <c r="Z40" s="86"/>
      <c r="AA40" s="86" t="e">
        <f t="shared" ca="1" si="9"/>
        <v>#NUM!</v>
      </c>
      <c r="AB40" s="86" t="e">
        <f t="shared" ca="1" si="10"/>
        <v>#NUM!</v>
      </c>
    </row>
    <row r="41" spans="1:28" ht="15" x14ac:dyDescent="0.25">
      <c r="A41" s="10"/>
      <c r="B41" s="102"/>
      <c r="C41" s="104" t="s">
        <v>94</v>
      </c>
      <c r="D41" s="104"/>
      <c r="E41" s="104"/>
      <c r="F41" s="103"/>
      <c r="G41" s="103"/>
      <c r="H41" s="103"/>
      <c r="I41" s="103"/>
      <c r="J41" s="103"/>
      <c r="K41" s="113"/>
      <c r="L41" s="10"/>
      <c r="Q41" s="89"/>
      <c r="R41" s="86"/>
      <c r="S41" s="86"/>
      <c r="T41" s="86"/>
      <c r="U41" s="86"/>
      <c r="V41" s="86"/>
      <c r="W41" s="86"/>
      <c r="X41" s="86"/>
      <c r="Y41" s="86"/>
      <c r="Z41" s="86"/>
      <c r="AA41" s="86"/>
      <c r="AB41" s="86" t="e">
        <f t="shared" ca="1" si="10"/>
        <v>#NUM!</v>
      </c>
    </row>
    <row r="42" spans="1:28" ht="15" x14ac:dyDescent="0.25">
      <c r="A42" s="10"/>
      <c r="B42" s="111"/>
      <c r="C42" s="107" t="s">
        <v>95</v>
      </c>
      <c r="D42" s="112"/>
      <c r="E42" s="112"/>
      <c r="F42" s="103"/>
      <c r="G42" s="103"/>
      <c r="H42" s="103"/>
      <c r="I42" s="103"/>
      <c r="J42" s="103"/>
      <c r="K42" s="113"/>
      <c r="L42" s="10"/>
      <c r="Q42" s="89"/>
      <c r="R42" s="86"/>
      <c r="S42" s="86"/>
      <c r="T42" s="86"/>
      <c r="U42" s="86"/>
      <c r="V42" s="86"/>
      <c r="W42" s="86"/>
      <c r="X42" s="86"/>
      <c r="Y42" s="86"/>
      <c r="Z42" s="86"/>
      <c r="AA42" s="86"/>
    </row>
    <row r="43" spans="1:28" ht="15" x14ac:dyDescent="0.25">
      <c r="A43" s="10"/>
      <c r="B43" s="116"/>
      <c r="C43" s="119" t="s">
        <v>96</v>
      </c>
      <c r="D43" s="103"/>
      <c r="E43" s="103"/>
      <c r="F43" s="103"/>
      <c r="G43" s="103"/>
      <c r="H43" s="103"/>
      <c r="I43" s="103"/>
      <c r="J43" s="103"/>
      <c r="K43" s="113"/>
      <c r="L43" s="10"/>
      <c r="Q43" s="89"/>
      <c r="R43" s="86"/>
      <c r="S43" s="86"/>
      <c r="T43" s="86"/>
      <c r="U43" s="86"/>
      <c r="V43" s="86"/>
      <c r="W43" s="86"/>
      <c r="X43" s="86"/>
      <c r="Y43" s="86"/>
      <c r="Z43" s="86"/>
      <c r="AA43" s="86"/>
    </row>
    <row r="44" spans="1:28" ht="15" x14ac:dyDescent="0.25">
      <c r="A44" s="10"/>
      <c r="B44" s="120"/>
      <c r="C44" s="121"/>
      <c r="D44" s="121"/>
      <c r="E44" s="121"/>
      <c r="F44" s="121"/>
      <c r="G44" s="121"/>
      <c r="H44" s="121"/>
      <c r="I44" s="121"/>
      <c r="J44" s="121"/>
      <c r="K44" s="122"/>
      <c r="L44" s="10"/>
      <c r="Q44" s="89"/>
      <c r="R44" s="86"/>
      <c r="S44" s="86"/>
      <c r="T44" s="86"/>
      <c r="U44" s="86"/>
      <c r="V44" s="86"/>
      <c r="W44" s="86"/>
      <c r="X44" s="86"/>
      <c r="Y44" s="86"/>
      <c r="Z44" s="86"/>
      <c r="AA44" s="86"/>
    </row>
    <row r="45" spans="1:28" ht="15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Q45" s="89"/>
      <c r="R45" s="86"/>
      <c r="S45" s="86" t="str">
        <f>IF(ROW() -ROW($R$31)&gt;S$28,"",S36*d/u)</f>
        <v/>
      </c>
      <c r="T45" s="86" t="str">
        <f>IF(ROW() -ROW($R$31)&gt;T$28,"",T36*d/u)</f>
        <v/>
      </c>
      <c r="U45" s="86" t="str">
        <f>IF(ROW() -ROW($R$31)&gt;U$28,"",U36*d/u)</f>
        <v/>
      </c>
      <c r="V45" s="86" t="str">
        <f>IF(ROW() -ROW($R$31)&gt;V$28,"",V36*d/u)</f>
        <v/>
      </c>
      <c r="W45" s="86"/>
      <c r="Y45" s="86"/>
      <c r="Z45" s="86"/>
      <c r="AA45" s="86"/>
    </row>
    <row r="46" spans="1:28" x14ac:dyDescent="0.2">
      <c r="Q46" s="88" t="s">
        <v>28</v>
      </c>
      <c r="R46" s="86">
        <f t="shared" ref="R46:AB46" ca="1" si="11">IF(R31="","",IF(R$29&lt;exdiv,R31+div*EXP(rr*(R$29-exdiv)),R31))</f>
        <v>0</v>
      </c>
      <c r="S46" s="86" t="e">
        <f t="shared" ca="1" si="11"/>
        <v>#NUM!</v>
      </c>
      <c r="T46" s="86" t="e">
        <f t="shared" ca="1" si="11"/>
        <v>#NUM!</v>
      </c>
      <c r="U46" s="86" t="e">
        <f t="shared" ca="1" si="11"/>
        <v>#NUM!</v>
      </c>
      <c r="V46" s="86" t="e">
        <f t="shared" ca="1" si="11"/>
        <v>#NUM!</v>
      </c>
      <c r="W46" s="86" t="e">
        <f t="shared" ca="1" si="11"/>
        <v>#NUM!</v>
      </c>
      <c r="X46" s="86" t="e">
        <f t="shared" ca="1" si="11"/>
        <v>#NUM!</v>
      </c>
      <c r="Y46" s="86" t="e">
        <f t="shared" ca="1" si="11"/>
        <v>#NUM!</v>
      </c>
      <c r="Z46" s="86" t="e">
        <f t="shared" ca="1" si="11"/>
        <v>#NUM!</v>
      </c>
      <c r="AA46" s="86" t="e">
        <f t="shared" ca="1" si="11"/>
        <v>#NUM!</v>
      </c>
      <c r="AB46" s="86" t="e">
        <f t="shared" ca="1" si="11"/>
        <v>#NUM!</v>
      </c>
    </row>
    <row r="47" spans="1:28" x14ac:dyDescent="0.2">
      <c r="Q47" s="89"/>
      <c r="R47" s="86" t="str">
        <f t="shared" ref="R47:AB47" si="12">IF(R32="","",IF(R$29&lt;exdiv,R32+div*EXP(rr*(R$29-exdiv)),R32))</f>
        <v/>
      </c>
      <c r="S47" s="86" t="e">
        <f t="shared" ca="1" si="12"/>
        <v>#NUM!</v>
      </c>
      <c r="T47" s="86" t="e">
        <f t="shared" ca="1" si="12"/>
        <v>#NUM!</v>
      </c>
      <c r="U47" s="86" t="e">
        <f t="shared" ca="1" si="12"/>
        <v>#NUM!</v>
      </c>
      <c r="V47" s="86" t="e">
        <f t="shared" ca="1" si="12"/>
        <v>#NUM!</v>
      </c>
      <c r="W47" s="86" t="e">
        <f t="shared" ca="1" si="12"/>
        <v>#NUM!</v>
      </c>
      <c r="X47" s="86" t="e">
        <f t="shared" ca="1" si="12"/>
        <v>#NUM!</v>
      </c>
      <c r="Y47" s="86" t="e">
        <f t="shared" ca="1" si="12"/>
        <v>#NUM!</v>
      </c>
      <c r="Z47" s="86" t="e">
        <f t="shared" ca="1" si="12"/>
        <v>#NUM!</v>
      </c>
      <c r="AA47" s="86" t="e">
        <f t="shared" ca="1" si="12"/>
        <v>#NUM!</v>
      </c>
      <c r="AB47" s="86" t="e">
        <f t="shared" ca="1" si="12"/>
        <v>#NUM!</v>
      </c>
    </row>
    <row r="48" spans="1:28" x14ac:dyDescent="0.2">
      <c r="Q48" s="89"/>
      <c r="R48" s="86" t="str">
        <f t="shared" ref="R48:AB48" si="13">IF(R33="","",IF(R$29&lt;exdiv,R33+div*EXP(rr*(R$29-exdiv)),R33))</f>
        <v/>
      </c>
      <c r="S48" s="86" t="str">
        <f t="shared" si="13"/>
        <v/>
      </c>
      <c r="T48" s="86" t="e">
        <f t="shared" ca="1" si="13"/>
        <v>#NUM!</v>
      </c>
      <c r="U48" s="86" t="e">
        <f t="shared" ca="1" si="13"/>
        <v>#NUM!</v>
      </c>
      <c r="V48" s="86" t="e">
        <f t="shared" ca="1" si="13"/>
        <v>#NUM!</v>
      </c>
      <c r="W48" s="86" t="e">
        <f t="shared" ca="1" si="13"/>
        <v>#NUM!</v>
      </c>
      <c r="X48" s="86" t="e">
        <f t="shared" ca="1" si="13"/>
        <v>#NUM!</v>
      </c>
      <c r="Y48" s="86" t="e">
        <f t="shared" ca="1" si="13"/>
        <v>#NUM!</v>
      </c>
      <c r="Z48" s="86" t="e">
        <f t="shared" ca="1" si="13"/>
        <v>#NUM!</v>
      </c>
      <c r="AA48" s="86" t="e">
        <f t="shared" ca="1" si="13"/>
        <v>#NUM!</v>
      </c>
      <c r="AB48" s="86" t="e">
        <f t="shared" ca="1" si="13"/>
        <v>#NUM!</v>
      </c>
    </row>
    <row r="49" spans="17:28" x14ac:dyDescent="0.2">
      <c r="Q49" s="89"/>
      <c r="R49" s="86" t="str">
        <f t="shared" ref="R49:AB49" si="14">IF(R34="","",IF(R$29&lt;exdiv,R34+div*EXP(rr*(R$29-exdiv)),R34))</f>
        <v/>
      </c>
      <c r="S49" s="86" t="str">
        <f t="shared" si="14"/>
        <v/>
      </c>
      <c r="T49" s="86" t="str">
        <f t="shared" si="14"/>
        <v/>
      </c>
      <c r="U49" s="86" t="e">
        <f t="shared" ca="1" si="14"/>
        <v>#NUM!</v>
      </c>
      <c r="V49" s="86" t="e">
        <f t="shared" ca="1" si="14"/>
        <v>#NUM!</v>
      </c>
      <c r="W49" s="86" t="e">
        <f t="shared" ca="1" si="14"/>
        <v>#NUM!</v>
      </c>
      <c r="X49" s="86" t="e">
        <f t="shared" ca="1" si="14"/>
        <v>#NUM!</v>
      </c>
      <c r="Y49" s="86" t="e">
        <f t="shared" ca="1" si="14"/>
        <v>#NUM!</v>
      </c>
      <c r="Z49" s="86" t="e">
        <f t="shared" ca="1" si="14"/>
        <v>#NUM!</v>
      </c>
      <c r="AA49" s="86" t="e">
        <f t="shared" ca="1" si="14"/>
        <v>#NUM!</v>
      </c>
      <c r="AB49" s="86" t="e">
        <f t="shared" ca="1" si="14"/>
        <v>#NUM!</v>
      </c>
    </row>
    <row r="50" spans="17:28" x14ac:dyDescent="0.2">
      <c r="Q50" s="89"/>
      <c r="R50" s="86" t="str">
        <f t="shared" ref="R50:AB50" si="15">IF(R35="","",IF(R$29&lt;exdiv,R35+div*EXP(rr*(R$29-exdiv)),R35))</f>
        <v/>
      </c>
      <c r="S50" s="86" t="str">
        <f t="shared" si="15"/>
        <v/>
      </c>
      <c r="T50" s="86" t="str">
        <f t="shared" si="15"/>
        <v/>
      </c>
      <c r="U50" s="86" t="str">
        <f t="shared" si="15"/>
        <v/>
      </c>
      <c r="V50" s="86" t="e">
        <f t="shared" ca="1" si="15"/>
        <v>#NUM!</v>
      </c>
      <c r="W50" s="86" t="e">
        <f t="shared" ca="1" si="15"/>
        <v>#NUM!</v>
      </c>
      <c r="X50" s="86" t="e">
        <f t="shared" ca="1" si="15"/>
        <v>#NUM!</v>
      </c>
      <c r="Y50" s="86" t="e">
        <f t="shared" ca="1" si="15"/>
        <v>#NUM!</v>
      </c>
      <c r="Z50" s="86" t="e">
        <f t="shared" ca="1" si="15"/>
        <v>#NUM!</v>
      </c>
      <c r="AA50" s="86" t="e">
        <f t="shared" ca="1" si="15"/>
        <v>#NUM!</v>
      </c>
      <c r="AB50" s="86" t="e">
        <f t="shared" ca="1" si="15"/>
        <v>#NUM!</v>
      </c>
    </row>
    <row r="51" spans="17:28" x14ac:dyDescent="0.2">
      <c r="Q51" s="89"/>
      <c r="R51" s="86" t="str">
        <f t="shared" ref="R51:AB51" si="16">IF(R36="","",IF(R$29&lt;exdiv,R36+div*EXP(rr*(R$29-exdiv)),R36))</f>
        <v/>
      </c>
      <c r="S51" s="86" t="str">
        <f t="shared" si="16"/>
        <v/>
      </c>
      <c r="T51" s="86" t="str">
        <f t="shared" si="16"/>
        <v/>
      </c>
      <c r="U51" s="86" t="str">
        <f t="shared" si="16"/>
        <v/>
      </c>
      <c r="V51" s="86" t="str">
        <f t="shared" si="16"/>
        <v/>
      </c>
      <c r="W51" s="86" t="e">
        <f t="shared" ca="1" si="16"/>
        <v>#NUM!</v>
      </c>
      <c r="X51" s="86" t="e">
        <f t="shared" ca="1" si="16"/>
        <v>#NUM!</v>
      </c>
      <c r="Y51" s="86" t="e">
        <f t="shared" ca="1" si="16"/>
        <v>#NUM!</v>
      </c>
      <c r="Z51" s="86" t="e">
        <f t="shared" ca="1" si="16"/>
        <v>#NUM!</v>
      </c>
      <c r="AA51" s="86" t="e">
        <f t="shared" ca="1" si="16"/>
        <v>#NUM!</v>
      </c>
      <c r="AB51" s="86" t="e">
        <f t="shared" ca="1" si="16"/>
        <v>#NUM!</v>
      </c>
    </row>
    <row r="52" spans="17:28" x14ac:dyDescent="0.2">
      <c r="Q52" s="89"/>
      <c r="R52" s="86"/>
      <c r="S52" s="86"/>
      <c r="T52" s="86"/>
      <c r="U52" s="86"/>
      <c r="V52" s="86"/>
      <c r="W52" s="86"/>
      <c r="X52" s="86" t="e">
        <f ca="1">IF(X37="","",IF(X$29&lt;exdiv,X37+div*EXP(rr*(X$29-exdiv)),X37))</f>
        <v>#NUM!</v>
      </c>
      <c r="Y52" s="86" t="e">
        <f ca="1">IF(Y37="","",IF(Y$29&lt;exdiv,Y37+div*EXP(rr*(Y$29-exdiv)),Y37))</f>
        <v>#NUM!</v>
      </c>
      <c r="Z52" s="86" t="e">
        <f ca="1">IF(Z37="","",IF(Z$29&lt;exdiv,Z37+div*EXP(rr*(Z$29-exdiv)),Z37))</f>
        <v>#NUM!</v>
      </c>
      <c r="AA52" s="86" t="e">
        <f ca="1">IF(AA37="","",IF(AA$29&lt;exdiv,AA37+div*EXP(rr*(AA$29-exdiv)),AA37))</f>
        <v>#NUM!</v>
      </c>
      <c r="AB52" s="86" t="e">
        <f ca="1">IF(AB37="","",IF(AB$29&lt;exdiv,AB37+div*EXP(rr*(AB$29-exdiv)),AB37))</f>
        <v>#NUM!</v>
      </c>
    </row>
    <row r="53" spans="17:28" x14ac:dyDescent="0.2">
      <c r="Q53" s="89"/>
      <c r="R53" s="86"/>
      <c r="S53" s="86"/>
      <c r="T53" s="86"/>
      <c r="U53" s="86"/>
      <c r="V53" s="86"/>
      <c r="W53" s="86"/>
      <c r="X53" s="86"/>
      <c r="Y53" s="86" t="e">
        <f ca="1">IF(Y38="","",IF(Y$29&lt;exdiv,Y38+div*EXP(rr*(Y$29-exdiv)),Y38))</f>
        <v>#NUM!</v>
      </c>
      <c r="Z53" s="86" t="e">
        <f ca="1">IF(Z38="","",IF(Z$29&lt;exdiv,Z38+div*EXP(rr*(Z$29-exdiv)),Z38))</f>
        <v>#NUM!</v>
      </c>
      <c r="AA53" s="86" t="e">
        <f ca="1">IF(AA38="","",IF(AA$29&lt;exdiv,AA38+div*EXP(rr*(AA$29-exdiv)),AA38))</f>
        <v>#NUM!</v>
      </c>
      <c r="AB53" s="86" t="e">
        <f ca="1">IF(AB38="","",IF(AB$29&lt;exdiv,AB38+div*EXP(rr*(AB$29-exdiv)),AB38))</f>
        <v>#NUM!</v>
      </c>
    </row>
    <row r="54" spans="17:28" x14ac:dyDescent="0.2">
      <c r="Q54" s="89"/>
      <c r="R54" s="86"/>
      <c r="S54" s="86"/>
      <c r="T54" s="86"/>
      <c r="U54" s="86"/>
      <c r="V54" s="86"/>
      <c r="W54" s="86"/>
      <c r="X54" s="86"/>
      <c r="Y54" s="86"/>
      <c r="Z54" s="86" t="e">
        <f ca="1">IF(Z39="","",IF(Z$29&lt;exdiv,Z39+div*EXP(rr*(Z$29-exdiv)),Z39))</f>
        <v>#NUM!</v>
      </c>
      <c r="AA54" s="86" t="e">
        <f ca="1">IF(AA39="","",IF(AA$29&lt;exdiv,AA39+div*EXP(rr*(AA$29-exdiv)),AA39))</f>
        <v>#NUM!</v>
      </c>
      <c r="AB54" s="86" t="e">
        <f ca="1">IF(AB39="","",IF(AB$29&lt;exdiv,AB39+div*EXP(rr*(AB$29-exdiv)),AB39))</f>
        <v>#NUM!</v>
      </c>
    </row>
    <row r="55" spans="17:28" x14ac:dyDescent="0.2">
      <c r="Q55" s="89"/>
      <c r="R55" s="86"/>
      <c r="S55" s="86"/>
      <c r="T55" s="86"/>
      <c r="U55" s="86"/>
      <c r="V55" s="86"/>
      <c r="W55" s="86"/>
      <c r="X55" s="86"/>
      <c r="Y55" s="86"/>
      <c r="AA55" s="86" t="e">
        <f ca="1">IF(AA40="","",IF(AA$29&lt;exdiv,AA40+div*EXP(rr*(AA$29-exdiv)),AA40))</f>
        <v>#NUM!</v>
      </c>
      <c r="AB55" s="86" t="e">
        <f ca="1">IF(AB40="","",IF(AB$29&lt;exdiv,AB40+div*EXP(rr*(AB$29-exdiv)),AB40))</f>
        <v>#NUM!</v>
      </c>
    </row>
    <row r="56" spans="17:28" x14ac:dyDescent="0.2">
      <c r="Q56" s="89"/>
      <c r="R56" s="86"/>
      <c r="S56" s="86"/>
      <c r="T56" s="86"/>
      <c r="U56" s="86"/>
      <c r="V56" s="86"/>
      <c r="W56" s="86"/>
      <c r="X56" s="86"/>
      <c r="Y56" s="86"/>
      <c r="AB56" s="86" t="e">
        <f ca="1">IF(AB41="","",IF(AB$29&lt;exdiv,AB41+div*EXP(rr*(AB$29-exdiv)),AB41))</f>
        <v>#NUM!</v>
      </c>
    </row>
    <row r="57" spans="17:28" x14ac:dyDescent="0.2">
      <c r="Q57" s="89"/>
      <c r="R57" s="86"/>
      <c r="S57" s="86"/>
      <c r="T57" s="86"/>
      <c r="U57" s="86"/>
      <c r="V57" s="86"/>
      <c r="W57" s="86"/>
      <c r="X57" s="86"/>
      <c r="Y57" s="86"/>
    </row>
    <row r="58" spans="17:28" x14ac:dyDescent="0.2">
      <c r="Q58" s="89"/>
      <c r="R58" s="86"/>
      <c r="S58" s="86"/>
      <c r="T58" s="86"/>
      <c r="U58" s="86"/>
      <c r="V58" s="86"/>
      <c r="W58" s="86"/>
      <c r="X58" s="86"/>
      <c r="Y58" s="86"/>
    </row>
    <row r="59" spans="17:28" x14ac:dyDescent="0.2">
      <c r="Q59" s="89"/>
      <c r="R59" s="86"/>
      <c r="S59" s="86"/>
      <c r="T59" s="86"/>
      <c r="U59" s="86"/>
      <c r="V59" s="86"/>
      <c r="W59" s="86"/>
      <c r="X59" s="86"/>
      <c r="Y59" s="86"/>
    </row>
    <row r="60" spans="17:28" x14ac:dyDescent="0.2">
      <c r="Q60" s="89"/>
      <c r="R60" s="86"/>
      <c r="S60" s="86"/>
      <c r="T60" s="86"/>
      <c r="U60" s="86"/>
      <c r="V60" s="86"/>
      <c r="W60" s="86"/>
      <c r="Y60" s="86"/>
      <c r="Z60" s="86"/>
      <c r="AA60" s="86"/>
    </row>
    <row r="61" spans="17:28" x14ac:dyDescent="0.2">
      <c r="Q61" s="90" t="str">
        <f>"American " &amp; IF(OptType=1,"call", "put") &amp; " price (Model)"</f>
        <v>American call price (Model)</v>
      </c>
      <c r="R61" s="91" t="e">
        <f t="shared" ref="R61:AA61" ca="1" si="17">IF(R46="","",MAX(MAX(OptType*(R46-K),0),(p*S61+(1-p)*S62)*emrdt))</f>
        <v>#NUM!</v>
      </c>
      <c r="S61" s="86" t="e">
        <f t="shared" ca="1" si="17"/>
        <v>#NUM!</v>
      </c>
      <c r="T61" s="86" t="e">
        <f t="shared" ca="1" si="17"/>
        <v>#NUM!</v>
      </c>
      <c r="U61" s="86" t="e">
        <f t="shared" ca="1" si="17"/>
        <v>#NUM!</v>
      </c>
      <c r="V61" s="86" t="e">
        <f t="shared" ca="1" si="17"/>
        <v>#NUM!</v>
      </c>
      <c r="W61" s="86" t="e">
        <f t="shared" ca="1" si="17"/>
        <v>#NUM!</v>
      </c>
      <c r="X61" s="86" t="e">
        <f t="shared" ca="1" si="17"/>
        <v>#NUM!</v>
      </c>
      <c r="Y61" s="86" t="e">
        <f t="shared" ca="1" si="17"/>
        <v>#NUM!</v>
      </c>
      <c r="Z61" s="86" t="e">
        <f t="shared" ca="1" si="17"/>
        <v>#NUM!</v>
      </c>
      <c r="AA61" s="86" t="e">
        <f t="shared" ca="1" si="17"/>
        <v>#NUM!</v>
      </c>
      <c r="AB61" s="86" t="e">
        <f t="shared" ref="AB61:AB71" ca="1" si="18">MAX(0,OptType*(AB46-K))</f>
        <v>#NUM!</v>
      </c>
    </row>
    <row r="62" spans="17:28" x14ac:dyDescent="0.2">
      <c r="R62" s="86" t="str">
        <f t="shared" ref="R62:W65" si="19">IF(R47="","",MAX(MAX(OptType*(R47-K),0),(p*S62+(1-p)*S63)*emrdt))</f>
        <v/>
      </c>
      <c r="S62" s="86" t="e">
        <f t="shared" ca="1" si="19"/>
        <v>#NUM!</v>
      </c>
      <c r="T62" s="86" t="e">
        <f t="shared" ca="1" si="19"/>
        <v>#NUM!</v>
      </c>
      <c r="U62" s="86" t="e">
        <f t="shared" ca="1" si="19"/>
        <v>#NUM!</v>
      </c>
      <c r="V62" s="86" t="e">
        <f t="shared" ca="1" si="19"/>
        <v>#NUM!</v>
      </c>
      <c r="W62" s="86" t="e">
        <f t="shared" ca="1" si="19"/>
        <v>#NUM!</v>
      </c>
      <c r="X62" s="86" t="e">
        <f t="shared" ref="X62:AA67" ca="1" si="20">MAX(0,OptType*(X47-K))</f>
        <v>#NUM!</v>
      </c>
      <c r="Y62" s="86" t="e">
        <f t="shared" ca="1" si="20"/>
        <v>#NUM!</v>
      </c>
      <c r="Z62" s="86" t="e">
        <f t="shared" ca="1" si="20"/>
        <v>#NUM!</v>
      </c>
      <c r="AA62" s="86" t="e">
        <f t="shared" ca="1" si="20"/>
        <v>#NUM!</v>
      </c>
      <c r="AB62" s="86" t="e">
        <f t="shared" ca="1" si="18"/>
        <v>#NUM!</v>
      </c>
    </row>
    <row r="63" spans="17:28" x14ac:dyDescent="0.2">
      <c r="R63" s="86" t="str">
        <f t="shared" si="19"/>
        <v/>
      </c>
      <c r="S63" s="86" t="str">
        <f t="shared" si="19"/>
        <v/>
      </c>
      <c r="T63" s="86" t="e">
        <f t="shared" ca="1" si="19"/>
        <v>#NUM!</v>
      </c>
      <c r="U63" s="86" t="e">
        <f t="shared" ca="1" si="19"/>
        <v>#NUM!</v>
      </c>
      <c r="V63" s="86" t="e">
        <f t="shared" ca="1" si="19"/>
        <v>#NUM!</v>
      </c>
      <c r="W63" s="86" t="e">
        <f t="shared" ca="1" si="19"/>
        <v>#NUM!</v>
      </c>
      <c r="X63" s="86" t="e">
        <f t="shared" ca="1" si="20"/>
        <v>#NUM!</v>
      </c>
      <c r="Y63" s="86" t="e">
        <f t="shared" ca="1" si="20"/>
        <v>#NUM!</v>
      </c>
      <c r="Z63" s="86" t="e">
        <f t="shared" ca="1" si="20"/>
        <v>#NUM!</v>
      </c>
      <c r="AA63" s="86" t="e">
        <f t="shared" ca="1" si="20"/>
        <v>#NUM!</v>
      </c>
      <c r="AB63" s="86" t="e">
        <f t="shared" ca="1" si="18"/>
        <v>#NUM!</v>
      </c>
    </row>
    <row r="64" spans="17:28" x14ac:dyDescent="0.2">
      <c r="R64" s="86" t="str">
        <f t="shared" si="19"/>
        <v/>
      </c>
      <c r="S64" s="86" t="str">
        <f t="shared" si="19"/>
        <v/>
      </c>
      <c r="T64" s="86" t="str">
        <f t="shared" si="19"/>
        <v/>
      </c>
      <c r="U64" s="86" t="e">
        <f t="shared" ca="1" si="19"/>
        <v>#NUM!</v>
      </c>
      <c r="V64" s="86" t="e">
        <f t="shared" ca="1" si="19"/>
        <v>#NUM!</v>
      </c>
      <c r="W64" s="86" t="e">
        <f t="shared" ca="1" si="19"/>
        <v>#NUM!</v>
      </c>
      <c r="X64" s="86" t="e">
        <f t="shared" ca="1" si="20"/>
        <v>#NUM!</v>
      </c>
      <c r="Y64" s="86" t="e">
        <f t="shared" ca="1" si="20"/>
        <v>#NUM!</v>
      </c>
      <c r="Z64" s="86" t="e">
        <f t="shared" ca="1" si="20"/>
        <v>#NUM!</v>
      </c>
      <c r="AA64" s="86" t="e">
        <f t="shared" ca="1" si="20"/>
        <v>#NUM!</v>
      </c>
      <c r="AB64" s="86" t="e">
        <f t="shared" ca="1" si="18"/>
        <v>#NUM!</v>
      </c>
    </row>
    <row r="65" spans="17:28" x14ac:dyDescent="0.2">
      <c r="R65" s="86" t="str">
        <f t="shared" si="19"/>
        <v/>
      </c>
      <c r="S65" s="86" t="str">
        <f t="shared" si="19"/>
        <v/>
      </c>
      <c r="T65" s="86" t="str">
        <f t="shared" si="19"/>
        <v/>
      </c>
      <c r="U65" s="86" t="str">
        <f t="shared" si="19"/>
        <v/>
      </c>
      <c r="V65" s="86" t="e">
        <f t="shared" ca="1" si="19"/>
        <v>#NUM!</v>
      </c>
      <c r="W65" s="86" t="e">
        <f t="shared" ca="1" si="19"/>
        <v>#NUM!</v>
      </c>
      <c r="X65" s="86" t="e">
        <f t="shared" ca="1" si="20"/>
        <v>#NUM!</v>
      </c>
      <c r="Y65" s="86" t="e">
        <f t="shared" ca="1" si="20"/>
        <v>#NUM!</v>
      </c>
      <c r="Z65" s="86" t="e">
        <f t="shared" ca="1" si="20"/>
        <v>#NUM!</v>
      </c>
      <c r="AA65" s="86" t="e">
        <f t="shared" ca="1" si="20"/>
        <v>#NUM!</v>
      </c>
      <c r="AB65" s="86" t="e">
        <f t="shared" ca="1" si="18"/>
        <v>#NUM!</v>
      </c>
    </row>
    <row r="66" spans="17:28" x14ac:dyDescent="0.2">
      <c r="R66" s="86" t="str">
        <f>IF(R51="","",MAX(MAX(OptType*(R51-K),0),(p*S66+(1-p)*#REF!)*emrdt))</f>
        <v/>
      </c>
      <c r="S66" s="86" t="str">
        <f>IF(S51="","",MAX(MAX(OptType*(S51-K),0),(p*T66+(1-p)*#REF!)*emrdt))</f>
        <v/>
      </c>
      <c r="T66" s="86" t="str">
        <f>IF(T51="","",MAX(MAX(OptType*(T51-K),0),(p*U66+(1-p)*#REF!)*emrdt))</f>
        <v/>
      </c>
      <c r="U66" s="86" t="str">
        <f>IF(U51="","",MAX(MAX(OptType*(U51-K),0),(p*V66+(1-p)*#REF!)*emrdt))</f>
        <v/>
      </c>
      <c r="V66" s="86" t="str">
        <f>IF(V51="","",MAX(MAX(OptType*(V51-K),0),(p*W66+(1-p)*#REF!)*emrdt))</f>
        <v/>
      </c>
      <c r="W66" s="86" t="e">
        <f ca="1">IF(W51="","",MAX(MAX(OptType*(W51-K),0),(p*X66+(1-p)*X67)*emrdt))</f>
        <v>#NUM!</v>
      </c>
      <c r="X66" s="86" t="e">
        <f t="shared" ca="1" si="20"/>
        <v>#NUM!</v>
      </c>
      <c r="Y66" s="86" t="e">
        <f t="shared" ca="1" si="20"/>
        <v>#NUM!</v>
      </c>
      <c r="Z66" s="86" t="e">
        <f t="shared" ca="1" si="20"/>
        <v>#NUM!</v>
      </c>
      <c r="AA66" s="86" t="e">
        <f t="shared" ca="1" si="20"/>
        <v>#NUM!</v>
      </c>
      <c r="AB66" s="86" t="e">
        <f t="shared" ca="1" si="18"/>
        <v>#NUM!</v>
      </c>
    </row>
    <row r="67" spans="17:28" ht="14.25" customHeight="1" x14ac:dyDescent="0.2">
      <c r="R67" s="86"/>
      <c r="S67" s="86"/>
      <c r="T67" s="86"/>
      <c r="U67" s="86"/>
      <c r="V67" s="86"/>
      <c r="W67" s="86"/>
      <c r="X67" s="86" t="e">
        <f t="shared" ca="1" si="20"/>
        <v>#NUM!</v>
      </c>
      <c r="Y67" s="86" t="e">
        <f t="shared" ref="Y67:AA67" ca="1" si="21">MAX(0,OptType*(Y52-K))</f>
        <v>#NUM!</v>
      </c>
      <c r="Z67" s="86" t="e">
        <f t="shared" ca="1" si="21"/>
        <v>#NUM!</v>
      </c>
      <c r="AA67" s="86" t="e">
        <f t="shared" ca="1" si="21"/>
        <v>#NUM!</v>
      </c>
      <c r="AB67" s="86" t="e">
        <f t="shared" ca="1" si="18"/>
        <v>#NUM!</v>
      </c>
    </row>
    <row r="68" spans="17:28" ht="14.25" customHeight="1" x14ac:dyDescent="0.2">
      <c r="R68" s="86"/>
      <c r="S68" s="86"/>
      <c r="T68" s="86"/>
      <c r="U68" s="86"/>
      <c r="V68" s="86"/>
      <c r="W68" s="86"/>
      <c r="Y68" s="86" t="e">
        <f t="shared" ref="Y68:AA68" ca="1" si="22">MAX(0,OptType*(Y53-K))</f>
        <v>#NUM!</v>
      </c>
      <c r="Z68" s="86" t="e">
        <f t="shared" ca="1" si="22"/>
        <v>#NUM!</v>
      </c>
      <c r="AA68" s="86" t="e">
        <f t="shared" ca="1" si="22"/>
        <v>#NUM!</v>
      </c>
      <c r="AB68" s="86" t="e">
        <f t="shared" ca="1" si="18"/>
        <v>#NUM!</v>
      </c>
    </row>
    <row r="69" spans="17:28" ht="14.25" customHeight="1" x14ac:dyDescent="0.2">
      <c r="R69" s="86"/>
      <c r="S69" s="86"/>
      <c r="T69" s="86"/>
      <c r="U69" s="86"/>
      <c r="V69" s="86"/>
      <c r="W69" s="86"/>
      <c r="Z69" s="86" t="e">
        <f t="shared" ref="Z69:AA69" ca="1" si="23">MAX(0,OptType*(Z54-K))</f>
        <v>#NUM!</v>
      </c>
      <c r="AA69" s="86" t="e">
        <f t="shared" ca="1" si="23"/>
        <v>#NUM!</v>
      </c>
      <c r="AB69" s="86" t="e">
        <f t="shared" ca="1" si="18"/>
        <v>#NUM!</v>
      </c>
    </row>
    <row r="70" spans="17:28" ht="14.25" customHeight="1" x14ac:dyDescent="0.2">
      <c r="R70" s="86"/>
      <c r="S70" s="86"/>
      <c r="T70" s="86"/>
      <c r="U70" s="86"/>
      <c r="V70" s="86"/>
      <c r="W70" s="86"/>
      <c r="AA70" s="86" t="e">
        <f t="shared" ref="AA70" ca="1" si="24">MAX(0,OptType*(AA55-K))</f>
        <v>#NUM!</v>
      </c>
      <c r="AB70" s="86" t="e">
        <f t="shared" ca="1" si="18"/>
        <v>#NUM!</v>
      </c>
    </row>
    <row r="71" spans="17:28" ht="14.25" customHeight="1" x14ac:dyDescent="0.2">
      <c r="R71" s="86"/>
      <c r="S71" s="86"/>
      <c r="T71" s="86"/>
      <c r="U71" s="86"/>
      <c r="V71" s="86"/>
      <c r="W71" s="86"/>
      <c r="AB71" s="86" t="e">
        <f t="shared" ca="1" si="18"/>
        <v>#NUM!</v>
      </c>
    </row>
    <row r="72" spans="17:28" ht="14.25" customHeight="1" x14ac:dyDescent="0.2">
      <c r="R72" s="86"/>
      <c r="S72" s="86"/>
      <c r="T72" s="86"/>
      <c r="U72" s="86"/>
      <c r="V72" s="86"/>
      <c r="W72" s="86"/>
    </row>
    <row r="73" spans="17:28" ht="14.25" customHeight="1" x14ac:dyDescent="0.2">
      <c r="R73" s="86"/>
      <c r="S73" s="86"/>
      <c r="T73" s="86"/>
      <c r="U73" s="86"/>
      <c r="V73" s="86"/>
      <c r="W73" s="86"/>
    </row>
    <row r="75" spans="17:28" x14ac:dyDescent="0.2">
      <c r="Q75" s="88" t="str">
        <f>"European " &amp; IF(OptType=1,"call", "put") &amp; " price"</f>
        <v>European call price</v>
      </c>
      <c r="R75" s="92" t="e">
        <f t="shared" ref="R75:AA75" ca="1" si="25">IF(R31="","",(p*S75+(1-p)*S76)*emrdt)</f>
        <v>#NUM!</v>
      </c>
      <c r="S75" s="86" t="e">
        <f t="shared" ca="1" si="25"/>
        <v>#NUM!</v>
      </c>
      <c r="T75" s="86" t="e">
        <f t="shared" ca="1" si="25"/>
        <v>#NUM!</v>
      </c>
      <c r="U75" s="86" t="e">
        <f t="shared" ca="1" si="25"/>
        <v>#NUM!</v>
      </c>
      <c r="V75" s="86" t="e">
        <f t="shared" ca="1" si="25"/>
        <v>#NUM!</v>
      </c>
      <c r="W75" s="86" t="e">
        <f t="shared" ca="1" si="25"/>
        <v>#NUM!</v>
      </c>
      <c r="X75" s="86" t="e">
        <f t="shared" ca="1" si="25"/>
        <v>#NUM!</v>
      </c>
      <c r="Y75" s="86" t="e">
        <f t="shared" ca="1" si="25"/>
        <v>#NUM!</v>
      </c>
      <c r="Z75" s="86" t="e">
        <f t="shared" ca="1" si="25"/>
        <v>#NUM!</v>
      </c>
      <c r="AA75" s="86" t="e">
        <f t="shared" ca="1" si="25"/>
        <v>#NUM!</v>
      </c>
      <c r="AB75" s="86" t="e">
        <f t="shared" ref="AB75:AB85" ca="1" si="26">MAX(0,OptType*(AB46-K))</f>
        <v>#NUM!</v>
      </c>
    </row>
    <row r="76" spans="17:28" x14ac:dyDescent="0.2">
      <c r="R76" s="86" t="str">
        <f t="shared" ref="R76:AA76" si="27">IF(R32="","",(p*S76+(1-p)*S77)*emrdt)</f>
        <v/>
      </c>
      <c r="S76" s="86" t="e">
        <f t="shared" ca="1" si="27"/>
        <v>#NUM!</v>
      </c>
      <c r="T76" s="86" t="e">
        <f t="shared" ca="1" si="27"/>
        <v>#NUM!</v>
      </c>
      <c r="U76" s="86" t="e">
        <f t="shared" ca="1" si="27"/>
        <v>#NUM!</v>
      </c>
      <c r="V76" s="86" t="e">
        <f t="shared" ca="1" si="27"/>
        <v>#NUM!</v>
      </c>
      <c r="W76" s="86" t="e">
        <f t="shared" ca="1" si="27"/>
        <v>#NUM!</v>
      </c>
      <c r="X76" s="86" t="e">
        <f t="shared" ca="1" si="27"/>
        <v>#NUM!</v>
      </c>
      <c r="Y76" s="86" t="e">
        <f t="shared" ca="1" si="27"/>
        <v>#NUM!</v>
      </c>
      <c r="Z76" s="86" t="e">
        <f t="shared" ca="1" si="27"/>
        <v>#NUM!</v>
      </c>
      <c r="AA76" s="86" t="e">
        <f t="shared" ca="1" si="27"/>
        <v>#NUM!</v>
      </c>
      <c r="AB76" s="86" t="e">
        <f t="shared" ca="1" si="26"/>
        <v>#NUM!</v>
      </c>
    </row>
    <row r="77" spans="17:28" x14ac:dyDescent="0.2">
      <c r="R77" s="86" t="str">
        <f t="shared" ref="R77:AA77" si="28">IF(R33="","",(p*S77+(1-p)*S78)*emrdt)</f>
        <v/>
      </c>
      <c r="S77" s="86" t="str">
        <f t="shared" si="28"/>
        <v/>
      </c>
      <c r="T77" s="86" t="e">
        <f t="shared" ca="1" si="28"/>
        <v>#NUM!</v>
      </c>
      <c r="U77" s="86" t="e">
        <f t="shared" ca="1" si="28"/>
        <v>#NUM!</v>
      </c>
      <c r="V77" s="86" t="e">
        <f t="shared" ca="1" si="28"/>
        <v>#NUM!</v>
      </c>
      <c r="W77" s="86" t="e">
        <f t="shared" ca="1" si="28"/>
        <v>#NUM!</v>
      </c>
      <c r="X77" s="86" t="e">
        <f t="shared" ca="1" si="28"/>
        <v>#NUM!</v>
      </c>
      <c r="Y77" s="86" t="e">
        <f t="shared" ca="1" si="28"/>
        <v>#NUM!</v>
      </c>
      <c r="Z77" s="86" t="e">
        <f t="shared" ca="1" si="28"/>
        <v>#NUM!</v>
      </c>
      <c r="AA77" s="86" t="e">
        <f t="shared" ca="1" si="28"/>
        <v>#NUM!</v>
      </c>
      <c r="AB77" s="86" t="e">
        <f t="shared" ca="1" si="26"/>
        <v>#NUM!</v>
      </c>
    </row>
    <row r="78" spans="17:28" x14ac:dyDescent="0.2">
      <c r="R78" s="86" t="str">
        <f t="shared" ref="R78:AA78" si="29">IF(R34="","",(p*S78+(1-p)*S79)*emrdt)</f>
        <v/>
      </c>
      <c r="S78" s="86" t="str">
        <f t="shared" si="29"/>
        <v/>
      </c>
      <c r="T78" s="86" t="str">
        <f t="shared" si="29"/>
        <v/>
      </c>
      <c r="U78" s="86" t="e">
        <f t="shared" ca="1" si="29"/>
        <v>#NUM!</v>
      </c>
      <c r="V78" s="86" t="e">
        <f t="shared" ca="1" si="29"/>
        <v>#NUM!</v>
      </c>
      <c r="W78" s="86" t="e">
        <f t="shared" ca="1" si="29"/>
        <v>#NUM!</v>
      </c>
      <c r="X78" s="86" t="e">
        <f t="shared" ca="1" si="29"/>
        <v>#NUM!</v>
      </c>
      <c r="Y78" s="86" t="e">
        <f t="shared" ca="1" si="29"/>
        <v>#NUM!</v>
      </c>
      <c r="Z78" s="86" t="e">
        <f t="shared" ca="1" si="29"/>
        <v>#NUM!</v>
      </c>
      <c r="AA78" s="86" t="e">
        <f t="shared" ca="1" si="29"/>
        <v>#NUM!</v>
      </c>
      <c r="AB78" s="86" t="e">
        <f t="shared" ca="1" si="26"/>
        <v>#NUM!</v>
      </c>
    </row>
    <row r="79" spans="17:28" x14ac:dyDescent="0.2">
      <c r="R79" s="86" t="str">
        <f t="shared" ref="R79:AA79" si="30">IF(R35="","",(p*S79+(1-p)*S80)*emrdt)</f>
        <v/>
      </c>
      <c r="S79" s="86" t="str">
        <f t="shared" si="30"/>
        <v/>
      </c>
      <c r="T79" s="86" t="str">
        <f t="shared" si="30"/>
        <v/>
      </c>
      <c r="U79" s="86" t="str">
        <f t="shared" si="30"/>
        <v/>
      </c>
      <c r="V79" s="86" t="e">
        <f t="shared" ca="1" si="30"/>
        <v>#NUM!</v>
      </c>
      <c r="W79" s="86" t="e">
        <f t="shared" ca="1" si="30"/>
        <v>#NUM!</v>
      </c>
      <c r="X79" s="86" t="e">
        <f t="shared" ca="1" si="30"/>
        <v>#NUM!</v>
      </c>
      <c r="Y79" s="86" t="e">
        <f t="shared" ca="1" si="30"/>
        <v>#NUM!</v>
      </c>
      <c r="Z79" s="86" t="e">
        <f t="shared" ca="1" si="30"/>
        <v>#NUM!</v>
      </c>
      <c r="AA79" s="86" t="e">
        <f t="shared" ca="1" si="30"/>
        <v>#NUM!</v>
      </c>
      <c r="AB79" s="86" t="e">
        <f t="shared" ca="1" si="26"/>
        <v>#NUM!</v>
      </c>
    </row>
    <row r="80" spans="17:28" x14ac:dyDescent="0.2">
      <c r="R80" s="86" t="str">
        <f>IF(R36="","",(p*S80+(1-p)*C76)*emrdt)</f>
        <v/>
      </c>
      <c r="S80" s="86" t="str">
        <f>IF(S36="","",(p*T80+(1-p)*D76)*emrdt)</f>
        <v/>
      </c>
      <c r="T80" s="86" t="str">
        <f>IF(T36="","",(p*U80+(1-p)*#REF!)*emrdt)</f>
        <v/>
      </c>
      <c r="U80" s="86" t="str">
        <f>IF(U36="","",(p*V80+(1-p)*#REF!)*emrdt)</f>
        <v/>
      </c>
      <c r="V80" s="86" t="str">
        <f>IF(V36="","",(p*W80+(1-p)*#REF!)*emrdt)</f>
        <v/>
      </c>
      <c r="W80" s="86" t="e">
        <f ca="1">IF(W36="","",(p*X80+(1-p)*X81)*emrdt)</f>
        <v>#NUM!</v>
      </c>
      <c r="X80" s="86" t="e">
        <f ca="1">IF(X36="","",(p*Y80+(1-p)*Y81)*emrdt)</f>
        <v>#NUM!</v>
      </c>
      <c r="Y80" s="86" t="e">
        <f ca="1">IF(Y36="","",(p*Z80+(1-p)*Z81)*emrdt)</f>
        <v>#NUM!</v>
      </c>
      <c r="Z80" s="86" t="e">
        <f ca="1">IF(Z36="","",(p*AA80+(1-p)*AA81)*emrdt)</f>
        <v>#NUM!</v>
      </c>
      <c r="AA80" s="86" t="e">
        <f ca="1">IF(AA36="","",(p*AB80+(1-p)*AB81)*emrdt)</f>
        <v>#NUM!</v>
      </c>
      <c r="AB80" s="86" t="e">
        <f t="shared" ca="1" si="26"/>
        <v>#NUM!</v>
      </c>
    </row>
    <row r="81" spans="24:28" x14ac:dyDescent="0.2">
      <c r="X81" s="86" t="e">
        <f ca="1">IF(X37="","",(p*Y81+(1-p)*Y82)*emrdt)</f>
        <v>#NUM!</v>
      </c>
      <c r="Y81" s="86" t="e">
        <f ca="1">IF(Y37="","",(p*Z81+(1-p)*Z82)*emrdt)</f>
        <v>#NUM!</v>
      </c>
      <c r="Z81" s="86" t="e">
        <f ca="1">IF(Z37="","",(p*AA81+(1-p)*AA82)*emrdt)</f>
        <v>#NUM!</v>
      </c>
      <c r="AA81" s="86" t="e">
        <f ca="1">IF(AA37="","",(p*AB81+(1-p)*AB82)*emrdt)</f>
        <v>#NUM!</v>
      </c>
      <c r="AB81" s="86" t="e">
        <f t="shared" ca="1" si="26"/>
        <v>#NUM!</v>
      </c>
    </row>
    <row r="82" spans="24:28" x14ac:dyDescent="0.2">
      <c r="Y82" s="86" t="e">
        <f ca="1">IF(Y38="","",(p*Z82+(1-p)*Z83)*emrdt)</f>
        <v>#NUM!</v>
      </c>
      <c r="Z82" s="86" t="e">
        <f ca="1">IF(Z38="","",(p*AA82+(1-p)*AA83)*emrdt)</f>
        <v>#NUM!</v>
      </c>
      <c r="AA82" s="86" t="e">
        <f ca="1">IF(AA38="","",(p*AB82+(1-p)*AB83)*emrdt)</f>
        <v>#NUM!</v>
      </c>
      <c r="AB82" s="86" t="e">
        <f t="shared" ca="1" si="26"/>
        <v>#NUM!</v>
      </c>
    </row>
    <row r="83" spans="24:28" x14ac:dyDescent="0.2">
      <c r="Z83" s="86" t="e">
        <f ca="1">IF(Z39="","",(p*AA83+(1-p)*AA84)*emrdt)</f>
        <v>#NUM!</v>
      </c>
      <c r="AA83" s="86" t="e">
        <f ca="1">IF(AA39="","",(p*AB83+(1-p)*AB84)*emrdt)</f>
        <v>#NUM!</v>
      </c>
      <c r="AB83" s="86" t="e">
        <f t="shared" ca="1" si="26"/>
        <v>#NUM!</v>
      </c>
    </row>
    <row r="84" spans="24:28" x14ac:dyDescent="0.2">
      <c r="AA84" s="86" t="e">
        <f ca="1">IF(AA40="","",(p*AB84+(1-p)*AB85)*emrdt)</f>
        <v>#NUM!</v>
      </c>
      <c r="AB84" s="86" t="e">
        <f t="shared" ca="1" si="26"/>
        <v>#NUM!</v>
      </c>
    </row>
    <row r="85" spans="24:28" x14ac:dyDescent="0.2">
      <c r="AB85" s="86" t="e">
        <f t="shared" ca="1" si="26"/>
        <v>#NUM!</v>
      </c>
    </row>
  </sheetData>
  <mergeCells count="10">
    <mergeCell ref="AI6:AJ6"/>
    <mergeCell ref="AK6:AL6"/>
    <mergeCell ref="B27:K28"/>
    <mergeCell ref="B37:E38"/>
    <mergeCell ref="F37:J38"/>
    <mergeCell ref="A1:G1"/>
    <mergeCell ref="A2:G2"/>
    <mergeCell ref="B4:C5"/>
    <mergeCell ref="E4:G5"/>
    <mergeCell ref="E7:G19"/>
  </mergeCells>
  <conditionalFormatting sqref="R61:V66 W61:AA61 W62:W66">
    <cfRule type="expression" dxfId="2" priority="1" stopIfTrue="1">
      <formula>ABS(R75-R61)&gt;0.001</formula>
    </cfRule>
  </conditionalFormatting>
  <dataValidations count="2">
    <dataValidation type="list" allowBlank="1" showInputMessage="1" showErrorMessage="1" error="Please enter &quot;1&quot; for a Call option or &quot;-1&quot; for a Put option" sqref="C7" xr:uid="{00000000-0002-0000-0200-000000000000}">
      <formula1>"1,-1"</formula1>
    </dataValidation>
    <dataValidation type="list" allowBlank="1" showInputMessage="1" showErrorMessage="1" error="Please choose a value from the drop-down list: American or European" sqref="C19" xr:uid="{00000000-0002-0000-0200-000001000000}">
      <formula1>"European, American"</formula1>
    </dataValidation>
  </dataValidations>
  <hyperlinks>
    <hyperlink ref="C31" r:id="rId1" xr:uid="{00000000-0004-0000-0200-000000000000}"/>
    <hyperlink ref="C32" r:id="rId2" xr:uid="{00000000-0004-0000-0200-000001000000}"/>
    <hyperlink ref="C33" r:id="rId3" xr:uid="{00000000-0004-0000-0200-000002000000}"/>
    <hyperlink ref="C34" r:id="rId4" xr:uid="{00000000-0004-0000-0200-000003000000}"/>
    <hyperlink ref="F31" r:id="rId5" xr:uid="{00000000-0004-0000-0200-000004000000}"/>
    <hyperlink ref="C41" r:id="rId6" xr:uid="{00000000-0004-0000-0200-000005000000}"/>
    <hyperlink ref="C42" r:id="rId7" xr:uid="{00000000-0004-0000-0200-000006000000}"/>
    <hyperlink ref="C43" r:id="rId8" xr:uid="{00000000-0004-0000-0200-000007000000}"/>
    <hyperlink ref="B37" r:id="rId9" xr:uid="{00000000-0004-0000-0200-000008000000}"/>
  </hyperlinks>
  <pageMargins left="0.75" right="0.75" top="1" bottom="1" header="0.5" footer="0.5"/>
  <pageSetup orientation="portrait" r:id="rId10"/>
  <headerFooter alignWithMargins="0"/>
  <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3</vt:i4>
      </vt:variant>
      <vt:variant>
        <vt:lpstr>Intervalos com Nome</vt:lpstr>
      </vt:variant>
      <vt:variant>
        <vt:i4>24</vt:i4>
      </vt:variant>
    </vt:vector>
  </HeadingPairs>
  <TitlesOfParts>
    <vt:vector size="27" baseType="lpstr">
      <vt:lpstr>Implied Vol - Black-Scholes</vt:lpstr>
      <vt:lpstr>Implied Vol - Binomial (yield)</vt:lpstr>
      <vt:lpstr>Implied Vol-Binomial (discrete)</vt:lpstr>
      <vt:lpstr>'Implied Vol - Binomial (yield)'!d</vt:lpstr>
      <vt:lpstr>d</vt:lpstr>
      <vt:lpstr>div</vt:lpstr>
      <vt:lpstr>'Implied Vol - Binomial (yield)'!dt</vt:lpstr>
      <vt:lpstr>dt</vt:lpstr>
      <vt:lpstr>'Implied Vol - Binomial (yield)'!emrdt</vt:lpstr>
      <vt:lpstr>emrdt</vt:lpstr>
      <vt:lpstr>exdiv</vt:lpstr>
      <vt:lpstr>'Implied Vol - Binomial (yield)'!K</vt:lpstr>
      <vt:lpstr>K</vt:lpstr>
      <vt:lpstr>'Implied Vol - Binomial (yield)'!n</vt:lpstr>
      <vt:lpstr>n</vt:lpstr>
      <vt:lpstr>'Implied Vol - Binomial (yield)'!OptType</vt:lpstr>
      <vt:lpstr>OptType</vt:lpstr>
      <vt:lpstr>'Implied Vol - Binomial (yield)'!p</vt:lpstr>
      <vt:lpstr>p</vt:lpstr>
      <vt:lpstr>'Implied Vol - Binomial (yield)'!rr</vt:lpstr>
      <vt:lpstr>rr</vt:lpstr>
      <vt:lpstr>'Implied Vol - Binomial (yield)'!S</vt:lpstr>
      <vt:lpstr>S</vt:lpstr>
      <vt:lpstr>'Implied Vol - Binomial (yield)'!T</vt:lpstr>
      <vt:lpstr>T</vt:lpstr>
      <vt:lpstr>'Implied Vol - Binomial (yield)'!u</vt:lpstr>
      <vt:lpstr>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Pedro Alves</cp:lastModifiedBy>
  <dcterms:created xsi:type="dcterms:W3CDTF">2016-07-27T19:10:11Z</dcterms:created>
  <dcterms:modified xsi:type="dcterms:W3CDTF">2019-08-12T11:20:17Z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9b844340-4c33-4539-bfea-ca75dcf5072e</vt:lpwstr>
  </property>
</Properties>
</file>